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2.xml" ContentType="application/vnd.openxmlformats-officedocument.drawing+xml"/>
  <Override PartName="/xl/drawings/drawing4.xml" ContentType="application/vnd.openxmlformats-officedocument.drawing+xml"/>
  <Override PartName="/xl/drawings/vmlDrawing1.vml" ContentType="application/vnd.openxmlformats-officedocument.vmlDrawing"/>
  <Override PartName="/xl/drawings/drawing15.xml" ContentType="application/vnd.openxmlformats-officedocument.drawing+xml"/>
  <Override PartName="/xl/drawings/drawing6.xml" ContentType="application/vnd.openxmlformats-officedocument.drawing+xml"/>
  <Override PartName="/xl/drawings/_rels/drawing15.xml.rels" ContentType="application/vnd.openxmlformats-package.relationships+xml"/>
  <Override PartName="/xl/drawings/_rels/drawing12.xml.rels" ContentType="application/vnd.openxmlformats-package.relationships+xml"/>
  <Override PartName="/xl/drawings/_rels/drawing8.xml.rels" ContentType="application/vnd.openxmlformats-package.relationships+xml"/>
  <Override PartName="/xl/drawings/_rels/drawing6.xml.rels" ContentType="application/vnd.openxmlformats-package.relationships+xml"/>
  <Override PartName="/xl/drawings/_rels/drawing3.xml.rels" ContentType="application/vnd.openxmlformats-package.relationships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5.xml" ContentType="application/vnd.openxmlformats-officedocument.drawing+xml"/>
  <Override PartName="/xl/drawings/vmlDrawing2.vml" ContentType="application/vnd.openxmlformats-officedocument.vmlDrawing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styles.xml" ContentType="application/vnd.openxmlformats-officedocument.spreadsheetml.styl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ctrlProps/ctrlProps9.xml" ContentType="application/vnd.ms-excel.controlproperties+xml"/>
  <Override PartName="/xl/ctrlProps/ctrlProps10.xml" ContentType="application/vnd.ms-excel.controlproperties+xml"/>
  <Override PartName="/xl/ctrlProps/ctrlProps11.xml" ContentType="application/vnd.ms-excel.controlproperties+xml"/>
  <Override PartName="/xl/ctrlProps/ctrlProps13.xml" ContentType="application/vnd.ms-excel.controlproperties+xml"/>
  <Override PartName="/xl/ctrlProps/ctrlProps14.xml" ContentType="application/vnd.ms-excel.control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7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harts/chart19.xml" ContentType="application/vnd.openxmlformats-officedocument.drawingml.chart+xml"/>
  <Override PartName="/xl/charts/chart34.xml" ContentType="application/vnd.openxmlformats-officedocument.drawingml.chart+xml"/>
  <Override PartName="/xl/charts/chart25.xml" ContentType="application/vnd.openxmlformats-officedocument.drawingml.chart+xml"/>
  <Override PartName="/xl/charts/chart40.xml" ContentType="application/vnd.openxmlformats-officedocument.drawingml.chart+xml"/>
  <Override PartName="/xl/charts/chart22.xml" ContentType="application/vnd.openxmlformats-officedocument.drawingml.chart+xml"/>
  <Override PartName="/xl/charts/chart20.xml" ContentType="application/vnd.openxmlformats-officedocument.drawingml.chart+xml"/>
  <Override PartName="/xl/charts/chart39.xml" ContentType="application/vnd.openxmlformats-officedocument.drawingml.chart+xml"/>
  <Override PartName="/xl/charts/chart21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6.xml" ContentType="application/vnd.openxmlformats-officedocument.drawingml.chart+xml"/>
  <Override PartName="/xl/charts/chart41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27.xml" ContentType="application/vnd.openxmlformats-officedocument.drawingml.chart+xml"/>
  <Override PartName="/xl/charts/chart42.xml" ContentType="application/vnd.openxmlformats-officedocument.drawingml.chart+xml"/>
  <Override PartName="/xl/charts/chart37.xml" ContentType="application/vnd.openxmlformats-officedocument.drawingml.chart+xml"/>
  <Override PartName="/xl/charts/chart28.xml" ContentType="application/vnd.openxmlformats-officedocument.drawingml.chart+xml"/>
  <Override PartName="/xl/charts/chart43.xml" ContentType="application/vnd.openxmlformats-officedocument.drawingml.chart+xml"/>
  <Override PartName="/xl/charts/chart38.xml" ContentType="application/vnd.openxmlformats-officedocument.drawingml.chart+xml"/>
  <Override PartName="/xl/charts/_rels/chart40.xml.rels" ContentType="application/vnd.openxmlformats-package.relationships+xml"/>
  <Override PartName="/xl/charts/chart29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30.xml" ContentType="application/vnd.openxmlformats-officedocument.drawingml.chart+xml"/>
  <Override PartName="/xl/charts/chart4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put" sheetId="1" state="visible" r:id="rId2"/>
    <sheet name="calc" sheetId="2" state="visible" r:id="rId3"/>
    <sheet name="elev az illum" sheetId="3" state="visible" r:id="rId4"/>
    <sheet name="distance declin  RA" sheetId="4" state="visible" r:id="rId5"/>
    <sheet name="orbit" sheetId="5" state="visible" r:id="rId6"/>
    <sheet name="L  B" sheetId="6" state="visible" r:id="rId7"/>
    <sheet name="sol ecl" sheetId="7" state="visible" r:id="rId8"/>
    <sheet name="lun ecl" sheetId="8" state="visible" r:id="rId9"/>
    <sheet name="topo" sheetId="9" state="visible" r:id="rId10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<sst xmlns="http://schemas.openxmlformats.org/spreadsheetml/2006/main" count="223" uniqueCount="117">
  <si>
    <t xml:space="preserve">h UT</t>
  </si>
  <si>
    <t xml:space="preserve">min</t>
  </si>
  <si>
    <t xml:space="preserve">Month</t>
  </si>
  <si>
    <t xml:space="preserve">Year</t>
  </si>
  <si>
    <t xml:space="preserve">Lat.</t>
  </si>
  <si>
    <t xml:space="preserve">Long.</t>
  </si>
  <si>
    <t xml:space="preserve">days in month:</t>
  </si>
  <si>
    <t xml:space="preserve">Topocentric Distance at</t>
  </si>
  <si>
    <t xml:space="preserve">UT</t>
  </si>
  <si>
    <t xml:space="preserve">Topocentric Distances (8 per day)</t>
  </si>
  <si>
    <t xml:space="preserve">GeoAstro.de/</t>
  </si>
  <si>
    <t xml:space="preserve">moonpos</t>
  </si>
  <si>
    <t xml:space="preserve">Astronomical Algorithms</t>
  </si>
  <si>
    <t xml:space="preserve">by Jean Meeus</t>
  </si>
  <si>
    <t xml:space="preserve">Rtopo max</t>
  </si>
  <si>
    <t xml:space="preserve">Rtopo min</t>
  </si>
  <si>
    <t xml:space="preserve">date:</t>
  </si>
  <si>
    <t xml:space="preserve">UT:</t>
  </si>
  <si>
    <t xml:space="preserve">Rgeo max</t>
  </si>
  <si>
    <t xml:space="preserve">Rgeo min</t>
  </si>
  <si>
    <t xml:space="preserve">Date</t>
  </si>
  <si>
    <t xml:space="preserve">Lat.:</t>
  </si>
  <si>
    <t xml:space="preserve">elev</t>
  </si>
  <si>
    <t xml:space="preserve">elevRefr</t>
  </si>
  <si>
    <t xml:space="preserve">ill frac</t>
  </si>
  <si>
    <t xml:space="preserve">az</t>
  </si>
  <si>
    <t xml:space="preserve">JD</t>
  </si>
  <si>
    <t xml:space="preserve">T</t>
  </si>
  <si>
    <t xml:space="preserve">LST</t>
  </si>
  <si>
    <t xml:space="preserve">L0</t>
  </si>
  <si>
    <t xml:space="preserve">DL</t>
  </si>
  <si>
    <t xml:space="preserve">L</t>
  </si>
  <si>
    <t xml:space="preserve">LS</t>
  </si>
  <si>
    <t xml:space="preserve">D</t>
  </si>
  <si>
    <t xml:space="preserve">F</t>
  </si>
  <si>
    <t xml:space="preserve">S</t>
  </si>
  <si>
    <t xml:space="preserve">H</t>
  </si>
  <si>
    <t xml:space="preserve">N</t>
  </si>
  <si>
    <t xml:space="preserve">Lmoon</t>
  </si>
  <si>
    <t xml:space="preserve">Bmoon</t>
  </si>
  <si>
    <t xml:space="preserve">Bm</t>
  </si>
  <si>
    <t xml:space="preserve">X</t>
  </si>
  <si>
    <t xml:space="preserve">V</t>
  </si>
  <si>
    <t xml:space="preserve">W</t>
  </si>
  <si>
    <t xml:space="preserve">Y</t>
  </si>
  <si>
    <t xml:space="preserve">Z</t>
  </si>
  <si>
    <t xml:space="preserve">RHO</t>
  </si>
  <si>
    <t xml:space="preserve">DEC</t>
  </si>
  <si>
    <t xml:space="preserve">RA</t>
  </si>
  <si>
    <t xml:space="preserve">LHA</t>
  </si>
  <si>
    <t xml:space="preserve">equ hor par</t>
  </si>
  <si>
    <t xml:space="preserve">elev1</t>
  </si>
  <si>
    <t xml:space="preserve">par</t>
  </si>
  <si>
    <t xml:space="preserve">elev1-par</t>
  </si>
  <si>
    <t xml:space="preserve">Lsun</t>
  </si>
  <si>
    <t xml:space="preserve">d</t>
  </si>
  <si>
    <t xml:space="preserve">i</t>
  </si>
  <si>
    <t xml:space="preserve">arctan2(1;2)</t>
  </si>
  <si>
    <t xml:space="preserve">∆L/day</t>
  </si>
  <si>
    <t xml:space="preserve">diam/arcmin</t>
  </si>
  <si>
    <t xml:space="preserve">xMoon</t>
  </si>
  <si>
    <t xml:space="preserve">yMoon</t>
  </si>
  <si>
    <t xml:space="preserve">R / km</t>
  </si>
  <si>
    <t xml:space="preserve">day</t>
  </si>
  <si>
    <t xml:space="preserve">xAxis</t>
  </si>
  <si>
    <t xml:space="preserve">u</t>
  </si>
  <si>
    <t xml:space="preserve">cos</t>
  </si>
  <si>
    <t xml:space="preserve">sin</t>
  </si>
  <si>
    <t xml:space="preserve">sin(pi)</t>
  </si>
  <si>
    <t xml:space="preserve">A</t>
  </si>
  <si>
    <t xml:space="preserve">B</t>
  </si>
  <si>
    <t xml:space="preserve">C</t>
  </si>
  <si>
    <t xml:space="preserve">return</t>
  </si>
  <si>
    <t xml:space="preserve">Rtopo</t>
  </si>
  <si>
    <t xml:space="preserve">Long.:</t>
  </si>
  <si>
    <t xml:space="preserve">(=PI/180)</t>
  </si>
  <si>
    <t xml:space="preserve">2019-May 29</t>
  </si>
  <si>
    <t xml:space="preserve">J. Giesen</t>
  </si>
  <si>
    <t xml:space="preserve">max</t>
  </si>
  <si>
    <t xml:space="preserve">Day</t>
  </si>
  <si>
    <t xml:space="preserve">RA / h</t>
  </si>
  <si>
    <t xml:space="preserve">RA / °</t>
  </si>
  <si>
    <t xml:space="preserve">diuurnal arc (h)</t>
  </si>
  <si>
    <t xml:space="preserve">Lm</t>
  </si>
  <si>
    <t xml:space="preserve">10*Bm</t>
  </si>
  <si>
    <t xml:space="preserve">|Bm/C17|&lt;1?</t>
  </si>
  <si>
    <t xml:space="preserve">∆L</t>
  </si>
  <si>
    <t xml:space="preserve">|∆L/C18|&lt;1?</t>
  </si>
  <si>
    <t xml:space="preserve">|J|+|L|&lt;2 ?</t>
  </si>
  <si>
    <t xml:space="preserve">|Bm| &lt;</t>
  </si>
  <si>
    <t xml:space="preserve">1° 35‘</t>
  </si>
  <si>
    <t xml:space="preserve">|∆L| &lt;</t>
  </si>
  <si>
    <t xml:space="preserve">17° 24’</t>
  </si>
  <si>
    <t xml:space="preserve">1° 25‘</t>
  </si>
  <si>
    <t xml:space="preserve">15° 27’</t>
  </si>
  <si>
    <t xml:space="preserve">1° 2‘</t>
  </si>
  <si>
    <t xml:space="preserve">11° 19‘</t>
  </si>
  <si>
    <r>
      <rPr>
        <b val="true"/>
        <sz val="12"/>
        <color rgb="FFFF0000"/>
        <rFont val="Liberation Sans1"/>
        <family val="0"/>
      </rPr>
      <t xml:space="preserve">selected</t>
    </r>
    <r>
      <rPr>
        <sz val="12"/>
        <color rgb="FFFF0000"/>
        <rFont val="Liberation Sans1"/>
        <family val="0"/>
      </rPr>
      <t xml:space="preserve">:</t>
    </r>
  </si>
  <si>
    <t xml:space="preserve">partial major</t>
  </si>
  <si>
    <t xml:space="preserve">|∆L|&lt;</t>
  </si>
  <si>
    <t xml:space="preserve">limits:</t>
  </si>
  <si>
    <t xml:space="preserve">http://freehostspace.firstcloudit.com/steveholmes/eclimit.htm</t>
  </si>
  <si>
    <t xml:space="preserve">|Ls-Lm|-180</t>
  </si>
  <si>
    <t xml:space="preserve">| I |/C14&lt;1?</t>
  </si>
  <si>
    <t xml:space="preserve">|Bm|/C13&lt;1?</t>
  </si>
  <si>
    <t xml:space="preserve">|J| + |L|</t>
  </si>
  <si>
    <t xml:space="preserve">xSun</t>
  </si>
  <si>
    <t xml:space="preserve">ySun</t>
  </si>
  <si>
    <t xml:space="preserve">1° 4’</t>
  </si>
  <si>
    <t xml:space="preserve">| |∆L|-180| &lt;</t>
  </si>
  <si>
    <t xml:space="preserve">11° 30’</t>
  </si>
  <si>
    <t xml:space="preserve">29‘ 54‘‘</t>
  </si>
  <si>
    <t xml:space="preserve">5° 23‘</t>
  </si>
  <si>
    <t xml:space="preserve">selected:</t>
  </si>
  <si>
    <t xml:space="preserve">total</t>
  </si>
  <si>
    <t xml:space="preserve">return q</t>
  </si>
  <si>
    <t xml:space="preserve">2022/10/24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</si>
</sst>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yyyy\-mm\-dd"/>
    <numFmt numFmtId="167" formatCode="0.00"/>
    <numFmt numFmtId="168" formatCode="#,##0"/>
    <numFmt numFmtId="169" formatCode="0.0"/>
    <numFmt numFmtId="170" formatCode="General"/>
    <numFmt numFmtId="171" formatCode="0.000"/>
    <numFmt numFmtId="172" formatCode="#,##0.00"/>
    <numFmt numFmtId="173" formatCode="0.000000"/>
    <numFmt numFmtId="174" formatCode="0.0000"/>
    <numFmt numFmtId="175" formatCode="#,##0.000"/>
    <numFmt numFmtId="176" formatCode="#,##0.0"/>
    <numFmt numFmtId="177" formatCode="0"/>
    <numFmt numFmtId="178" formatCode="#,##0.0000"/>
    <numFmt numFmtId="179" formatCode="#.0"/>
  </numFmts>
  <fonts count="38">
    <font>
      <sz val="12"/>
      <color rgb="FF000000"/>
      <name val="Liberation Sans1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0000"/>
      <name val="Liberation Sans1"/>
      <family val="0"/>
    </font>
    <font>
      <sz val="10"/>
      <color rgb="FF000000"/>
      <name val="Liberation Sans1"/>
      <family val="0"/>
    </font>
    <font>
      <b val="true"/>
      <sz val="12"/>
      <color rgb="FF000000"/>
      <name val="Liberation Sans1"/>
      <family val="0"/>
    </font>
    <font>
      <sz val="10"/>
      <name val="Arial"/>
      <family val="2"/>
    </font>
    <font>
      <b val="true"/>
      <sz val="11"/>
      <name val="Arial"/>
      <family val="2"/>
    </font>
    <font>
      <sz val="13"/>
      <name val="Arial"/>
      <family val="2"/>
    </font>
    <font>
      <sz val="12"/>
      <color rgb="FF0000FF"/>
      <name val="Liberation Sans1"/>
      <family val="0"/>
    </font>
    <font>
      <sz val="11"/>
      <color rgb="FF000000"/>
      <name val="Liberation Sans1"/>
      <family val="0"/>
    </font>
    <font>
      <b val="true"/>
      <sz val="11"/>
      <color rgb="FF000000"/>
      <name val="Liberation Sans1"/>
      <family val="0"/>
    </font>
    <font>
      <b val="true"/>
      <sz val="12"/>
      <color rgb="FF0000FF"/>
      <name val="Liberation Sans1"/>
      <family val="0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3"/>
      <color rgb="FF000000"/>
      <name val="Calibri"/>
      <family val="2"/>
    </font>
    <font>
      <sz val="12"/>
      <color rgb="FFFF0000"/>
      <name val="Liberation Sans1"/>
      <family val="0"/>
    </font>
    <font>
      <b val="true"/>
      <sz val="11"/>
      <color rgb="FFFF0000"/>
      <name val="Arial"/>
      <family val="2"/>
    </font>
    <font>
      <b val="true"/>
      <sz val="12"/>
      <name val="Arial"/>
      <family val="2"/>
    </font>
    <font>
      <b val="true"/>
      <sz val="12"/>
      <color rgb="FF000000"/>
      <name val="Arial"/>
      <family val="2"/>
    </font>
    <font>
      <sz val="12"/>
      <name val="Arial"/>
      <family val="2"/>
    </font>
    <font>
      <b val="true"/>
      <sz val="12"/>
      <color rgb="FF00AE00"/>
      <name val="Liberation Sans1"/>
      <family val="0"/>
    </font>
    <font>
      <sz val="12"/>
      <color rgb="FF00AE00"/>
      <name val="Liberation Sans1"/>
      <family val="0"/>
    </font>
    <font>
      <sz val="12"/>
      <color rgb="FF808080"/>
      <name val="Liberation Sans1"/>
      <family val="0"/>
    </font>
    <font>
      <b val="true"/>
      <sz val="11"/>
      <color rgb="FF0000FF"/>
      <name val="Arial"/>
      <family val="2"/>
    </font>
    <font>
      <b val="true"/>
      <sz val="12"/>
      <color rgb="FFFF00FF"/>
      <name val="Liberation Sans1"/>
      <family val="0"/>
    </font>
    <font>
      <b val="true"/>
      <sz val="12"/>
      <color rgb="FF33CC66"/>
      <name val="Liberation Sans1"/>
      <family val="0"/>
    </font>
    <font>
      <b val="true"/>
      <sz val="12"/>
      <color rgb="FF3DEB3D"/>
      <name val="Liberation Sans1"/>
      <family val="0"/>
    </font>
    <font>
      <b val="true"/>
      <sz val="11"/>
      <color rgb="FFFF00FF"/>
      <name val="Verdana"/>
      <family val="2"/>
    </font>
    <font>
      <i val="true"/>
      <sz val="12"/>
      <color rgb="FF000000"/>
      <name val="Liberation Sans1"/>
      <family val="0"/>
    </font>
    <font>
      <sz val="9"/>
      <color rgb="FF000000"/>
      <name val="Liberation Sans1"/>
      <family val="0"/>
    </font>
    <font>
      <b val="true"/>
      <sz val="12"/>
      <color rgb="FF0000FF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2"/>
      <color rgb="FFFF00FF"/>
      <name val="Liberation Sans1"/>
      <family val="0"/>
    </font>
    <font>
      <b val="true"/>
      <sz val="11"/>
      <color rgb="FFFF00FF"/>
      <name val="Arial"/>
      <family val="2"/>
    </font>
    <font>
      <sz val="10.5"/>
      <color rgb="FF000000"/>
      <name val="Liberation Sans1"/>
      <family val="0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0000"/>
        </patternFill>
      </fill>
    </dxf>
  </dxfs>
  <colors>
    <indexedColors>
      <rgbColor rgb="FF000000"/>
      <rgbColor rgb="FFE6E6E6"/>
      <rgbColor rgb="FFFF0000"/>
      <rgbColor rgb="FF3DEB3D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66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charts/_rels/chart40.xml.rels><?xml version="1.0" encoding="UTF-8"?>
<Relationships xmlns="http://schemas.openxmlformats.org/package/2006/relationships"><Relationship Id="rId1" Type="http://schemas.openxmlformats.org/officeDocument/2006/relationships/chartUserShapes" Target="../drawings/drawing7.xml"/>
</Relationships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19428818693206"/>
          <c:y val="0.0390249357039025"/>
          <c:w val="0.851084873585955"/>
          <c:h val="0.889075254388908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calc!$BA$2:$BA$32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calc!$BK$2:$BK$32</c:f>
              <c:numCache>
                <c:formatCode>General</c:formatCode>
                <c:ptCount val="31"/>
                <c:pt idx="0">
                  <c:v>374557.589526501</c:v>
                </c:pt>
                <c:pt idx="1">
                  <c:v>371630.805426535</c:v>
                </c:pt>
                <c:pt idx="2">
                  <c:v>369123.599500981</c:v>
                </c:pt>
                <c:pt idx="3">
                  <c:v>367149.379666133</c:v>
                </c:pt>
                <c:pt idx="4">
                  <c:v>365858.257678808</c:v>
                </c:pt>
                <c:pt idx="5">
                  <c:v>365420.25725133</c:v>
                </c:pt>
                <c:pt idx="6">
                  <c:v>365993.755746215</c:v>
                </c:pt>
                <c:pt idx="7">
                  <c:v>367685.122393512</c:v>
                </c:pt>
                <c:pt idx="8">
                  <c:v>370509.980289514</c:v>
                </c:pt>
                <c:pt idx="9">
                  <c:v>374368.197215509</c:v>
                </c:pt>
                <c:pt idx="10">
                  <c:v>379041.393822233</c:v>
                </c:pt>
                <c:pt idx="11">
                  <c:v>384214.105130312</c:v>
                </c:pt>
                <c:pt idx="12">
                  <c:v>389511.627907239</c:v>
                </c:pt>
                <c:pt idx="13">
                  <c:v>394543.498650227</c:v>
                </c:pt>
                <c:pt idx="14">
                  <c:v>398943.087295562</c:v>
                </c:pt>
                <c:pt idx="15">
                  <c:v>402398.721206234</c:v>
                </c:pt>
                <c:pt idx="16">
                  <c:v>404676.188231714</c:v>
                </c:pt>
                <c:pt idx="17">
                  <c:v>405634.036797525</c:v>
                </c:pt>
                <c:pt idx="18">
                  <c:v>405232.272471838</c:v>
                </c:pt>
                <c:pt idx="19">
                  <c:v>403533.901458026</c:v>
                </c:pt>
                <c:pt idx="20">
                  <c:v>400698.668541528</c:v>
                </c:pt>
                <c:pt idx="21">
                  <c:v>396968.978411979</c:v>
                </c:pt>
                <c:pt idx="22">
                  <c:v>392648.386723687</c:v>
                </c:pt>
                <c:pt idx="23">
                  <c:v>388073.113138032</c:v>
                </c:pt>
                <c:pt idx="24">
                  <c:v>383577.826870812</c:v>
                </c:pt>
                <c:pt idx="25">
                  <c:v>379459.283585441</c:v>
                </c:pt>
                <c:pt idx="26">
                  <c:v>375944.344884528</c:v>
                </c:pt>
                <c:pt idx="27">
                  <c:v>373170.196216924</c:v>
                </c:pt>
                <c:pt idx="28">
                  <c:v>371182.444037524</c:v>
                </c:pt>
                <c:pt idx="29">
                  <c:v>369951.63215489</c:v>
                </c:pt>
                <c:pt idx="30">
                  <c:v>369402.949716886</c:v>
                </c:pt>
              </c:numCache>
            </c:numRef>
          </c:yVal>
          <c:smooth val="0"/>
        </c:ser>
        <c:axId val="87531701"/>
        <c:axId val="61798531"/>
      </c:scatterChart>
      <c:valAx>
        <c:axId val="87531701"/>
        <c:scaling>
          <c:orientation val="minMax"/>
          <c:max val="32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881003894418001"/>
              <c:y val="0.83148831488314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1798531"/>
        <c:crosses val="autoZero"/>
        <c:crossBetween val="between"/>
        <c:majorUnit val="1"/>
      </c:valAx>
      <c:valAx>
        <c:axId val="61798531"/>
        <c:scaling>
          <c:orientation val="minMax"/>
          <c:max val="420000"/>
          <c:min val="3600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km</a:t>
                </a:r>
              </a:p>
            </c:rich>
          </c:tx>
          <c:layout>
            <c:manualLayout>
              <c:xMode val="edge"/>
              <c:yMode val="edge"/>
              <c:x val="0.130061197997156"/>
              <c:y val="0.0600469641060047"/>
            </c:manualLayout>
          </c:layout>
          <c:overlay val="0"/>
          <c:spPr>
            <a:noFill/>
            <a:ln w="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7531701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08601169716156"/>
          <c:y val="0.0578743961352657"/>
          <c:w val="0.854053764017814"/>
          <c:h val="0.837971014492754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topo!$AY$2:$AY$250</c:f>
              <c:numCache>
                <c:formatCode>General</c:formatCode>
                <c:ptCount val="249"/>
                <c:pt idx="0">
                  <c:v>1</c:v>
                </c:pt>
                <c:pt idx="1">
                  <c:v>1.125</c:v>
                </c:pt>
                <c:pt idx="2">
                  <c:v>1.25</c:v>
                </c:pt>
                <c:pt idx="3">
                  <c:v>1.375</c:v>
                </c:pt>
                <c:pt idx="4">
                  <c:v>1.5</c:v>
                </c:pt>
                <c:pt idx="5">
                  <c:v>1.625</c:v>
                </c:pt>
                <c:pt idx="6">
                  <c:v>1.75</c:v>
                </c:pt>
                <c:pt idx="7">
                  <c:v>1.875</c:v>
                </c:pt>
                <c:pt idx="8">
                  <c:v>2</c:v>
                </c:pt>
                <c:pt idx="9">
                  <c:v>2.125</c:v>
                </c:pt>
                <c:pt idx="10">
                  <c:v>2.25</c:v>
                </c:pt>
                <c:pt idx="11">
                  <c:v>2.375</c:v>
                </c:pt>
                <c:pt idx="12">
                  <c:v>2.5</c:v>
                </c:pt>
                <c:pt idx="13">
                  <c:v>2.625</c:v>
                </c:pt>
                <c:pt idx="14">
                  <c:v>2.75</c:v>
                </c:pt>
                <c:pt idx="15">
                  <c:v>2.875</c:v>
                </c:pt>
                <c:pt idx="16">
                  <c:v>3</c:v>
                </c:pt>
                <c:pt idx="17">
                  <c:v>3.125</c:v>
                </c:pt>
                <c:pt idx="18">
                  <c:v>3.25</c:v>
                </c:pt>
                <c:pt idx="19">
                  <c:v>3.375</c:v>
                </c:pt>
                <c:pt idx="20">
                  <c:v>3.5</c:v>
                </c:pt>
                <c:pt idx="21">
                  <c:v>3.625</c:v>
                </c:pt>
                <c:pt idx="22">
                  <c:v>3.75</c:v>
                </c:pt>
                <c:pt idx="23">
                  <c:v>3.875</c:v>
                </c:pt>
                <c:pt idx="24">
                  <c:v>4</c:v>
                </c:pt>
                <c:pt idx="25">
                  <c:v>4.125</c:v>
                </c:pt>
                <c:pt idx="26">
                  <c:v>4.25</c:v>
                </c:pt>
                <c:pt idx="27">
                  <c:v>4.375</c:v>
                </c:pt>
                <c:pt idx="28">
                  <c:v>4.5</c:v>
                </c:pt>
                <c:pt idx="29">
                  <c:v>4.625</c:v>
                </c:pt>
                <c:pt idx="30">
                  <c:v>4.75</c:v>
                </c:pt>
                <c:pt idx="31">
                  <c:v>4.875</c:v>
                </c:pt>
                <c:pt idx="32">
                  <c:v>5</c:v>
                </c:pt>
                <c:pt idx="33">
                  <c:v>5.125</c:v>
                </c:pt>
                <c:pt idx="34">
                  <c:v>5.25</c:v>
                </c:pt>
                <c:pt idx="35">
                  <c:v>5.375</c:v>
                </c:pt>
                <c:pt idx="36">
                  <c:v>5.5</c:v>
                </c:pt>
                <c:pt idx="37">
                  <c:v>5.625</c:v>
                </c:pt>
                <c:pt idx="38">
                  <c:v>5.75</c:v>
                </c:pt>
                <c:pt idx="39">
                  <c:v>5.875</c:v>
                </c:pt>
                <c:pt idx="40">
                  <c:v>6</c:v>
                </c:pt>
                <c:pt idx="41">
                  <c:v>6.125</c:v>
                </c:pt>
                <c:pt idx="42">
                  <c:v>6.25</c:v>
                </c:pt>
                <c:pt idx="43">
                  <c:v>6.375</c:v>
                </c:pt>
                <c:pt idx="44">
                  <c:v>6.5</c:v>
                </c:pt>
                <c:pt idx="45">
                  <c:v>6.625</c:v>
                </c:pt>
                <c:pt idx="46">
                  <c:v>6.75</c:v>
                </c:pt>
                <c:pt idx="47">
                  <c:v>6.875</c:v>
                </c:pt>
                <c:pt idx="48">
                  <c:v>7</c:v>
                </c:pt>
                <c:pt idx="49">
                  <c:v>7.125</c:v>
                </c:pt>
                <c:pt idx="50">
                  <c:v>7.25</c:v>
                </c:pt>
                <c:pt idx="51">
                  <c:v>7.375</c:v>
                </c:pt>
                <c:pt idx="52">
                  <c:v>7.5</c:v>
                </c:pt>
                <c:pt idx="53">
                  <c:v>7.625</c:v>
                </c:pt>
                <c:pt idx="54">
                  <c:v>7.75</c:v>
                </c:pt>
                <c:pt idx="55">
                  <c:v>7.875</c:v>
                </c:pt>
                <c:pt idx="56">
                  <c:v>8</c:v>
                </c:pt>
                <c:pt idx="57">
                  <c:v>8.125</c:v>
                </c:pt>
                <c:pt idx="58">
                  <c:v>8.25</c:v>
                </c:pt>
                <c:pt idx="59">
                  <c:v>8.375</c:v>
                </c:pt>
                <c:pt idx="60">
                  <c:v>8.5</c:v>
                </c:pt>
                <c:pt idx="61">
                  <c:v>8.625</c:v>
                </c:pt>
                <c:pt idx="62">
                  <c:v>8.75</c:v>
                </c:pt>
                <c:pt idx="63">
                  <c:v>8.875</c:v>
                </c:pt>
                <c:pt idx="64">
                  <c:v>9</c:v>
                </c:pt>
                <c:pt idx="65">
                  <c:v>9.125</c:v>
                </c:pt>
                <c:pt idx="66">
                  <c:v>9.25</c:v>
                </c:pt>
                <c:pt idx="67">
                  <c:v>9.375</c:v>
                </c:pt>
                <c:pt idx="68">
                  <c:v>9.5</c:v>
                </c:pt>
                <c:pt idx="69">
                  <c:v>9.625</c:v>
                </c:pt>
                <c:pt idx="70">
                  <c:v>9.75</c:v>
                </c:pt>
                <c:pt idx="71">
                  <c:v>9.875</c:v>
                </c:pt>
                <c:pt idx="72">
                  <c:v>10</c:v>
                </c:pt>
                <c:pt idx="73">
                  <c:v>10.125</c:v>
                </c:pt>
                <c:pt idx="74">
                  <c:v>10.25</c:v>
                </c:pt>
                <c:pt idx="75">
                  <c:v>10.375</c:v>
                </c:pt>
                <c:pt idx="76">
                  <c:v>10.5</c:v>
                </c:pt>
                <c:pt idx="77">
                  <c:v>10.625</c:v>
                </c:pt>
                <c:pt idx="78">
                  <c:v>10.75</c:v>
                </c:pt>
                <c:pt idx="79">
                  <c:v>10.875</c:v>
                </c:pt>
                <c:pt idx="80">
                  <c:v>11</c:v>
                </c:pt>
                <c:pt idx="81">
                  <c:v>11.125</c:v>
                </c:pt>
                <c:pt idx="82">
                  <c:v>11.25</c:v>
                </c:pt>
                <c:pt idx="83">
                  <c:v>11.375</c:v>
                </c:pt>
                <c:pt idx="84">
                  <c:v>11.5</c:v>
                </c:pt>
                <c:pt idx="85">
                  <c:v>11.625</c:v>
                </c:pt>
                <c:pt idx="86">
                  <c:v>11.75</c:v>
                </c:pt>
                <c:pt idx="87">
                  <c:v>11.875</c:v>
                </c:pt>
                <c:pt idx="88">
                  <c:v>12</c:v>
                </c:pt>
                <c:pt idx="89">
                  <c:v>12.125</c:v>
                </c:pt>
                <c:pt idx="90">
                  <c:v>12.25</c:v>
                </c:pt>
                <c:pt idx="91">
                  <c:v>12.375</c:v>
                </c:pt>
                <c:pt idx="92">
                  <c:v>12.5</c:v>
                </c:pt>
                <c:pt idx="93">
                  <c:v>12.625</c:v>
                </c:pt>
                <c:pt idx="94">
                  <c:v>12.75</c:v>
                </c:pt>
                <c:pt idx="95">
                  <c:v>12.875</c:v>
                </c:pt>
                <c:pt idx="96">
                  <c:v>13</c:v>
                </c:pt>
                <c:pt idx="97">
                  <c:v>13.125</c:v>
                </c:pt>
                <c:pt idx="98">
                  <c:v>13.25</c:v>
                </c:pt>
                <c:pt idx="99">
                  <c:v>13.375</c:v>
                </c:pt>
                <c:pt idx="100">
                  <c:v>13.5</c:v>
                </c:pt>
                <c:pt idx="101">
                  <c:v>13.625</c:v>
                </c:pt>
                <c:pt idx="102">
                  <c:v>13.75</c:v>
                </c:pt>
                <c:pt idx="103">
                  <c:v>13.875</c:v>
                </c:pt>
                <c:pt idx="104">
                  <c:v>14</c:v>
                </c:pt>
                <c:pt idx="105">
                  <c:v>14.125</c:v>
                </c:pt>
                <c:pt idx="106">
                  <c:v>14.25</c:v>
                </c:pt>
                <c:pt idx="107">
                  <c:v>14.375</c:v>
                </c:pt>
                <c:pt idx="108">
                  <c:v>14.5</c:v>
                </c:pt>
                <c:pt idx="109">
                  <c:v>14.625</c:v>
                </c:pt>
                <c:pt idx="110">
                  <c:v>14.75</c:v>
                </c:pt>
                <c:pt idx="111">
                  <c:v>14.875</c:v>
                </c:pt>
                <c:pt idx="112">
                  <c:v>15</c:v>
                </c:pt>
                <c:pt idx="113">
                  <c:v>15.125</c:v>
                </c:pt>
                <c:pt idx="114">
                  <c:v>15.25</c:v>
                </c:pt>
                <c:pt idx="115">
                  <c:v>15.375</c:v>
                </c:pt>
                <c:pt idx="116">
                  <c:v>15.5</c:v>
                </c:pt>
                <c:pt idx="117">
                  <c:v>15.625</c:v>
                </c:pt>
                <c:pt idx="118">
                  <c:v>15.75</c:v>
                </c:pt>
                <c:pt idx="119">
                  <c:v>15.875</c:v>
                </c:pt>
                <c:pt idx="120">
                  <c:v>16</c:v>
                </c:pt>
                <c:pt idx="121">
                  <c:v>16.125</c:v>
                </c:pt>
                <c:pt idx="122">
                  <c:v>16.25</c:v>
                </c:pt>
                <c:pt idx="123">
                  <c:v>16.375</c:v>
                </c:pt>
                <c:pt idx="124">
                  <c:v>16.5</c:v>
                </c:pt>
                <c:pt idx="125">
                  <c:v>16.625</c:v>
                </c:pt>
                <c:pt idx="126">
                  <c:v>16.75</c:v>
                </c:pt>
                <c:pt idx="127">
                  <c:v>16.875</c:v>
                </c:pt>
                <c:pt idx="128">
                  <c:v>17</c:v>
                </c:pt>
                <c:pt idx="129">
                  <c:v>17.125</c:v>
                </c:pt>
                <c:pt idx="130">
                  <c:v>17.25</c:v>
                </c:pt>
                <c:pt idx="131">
                  <c:v>17.375</c:v>
                </c:pt>
                <c:pt idx="132">
                  <c:v>17.5</c:v>
                </c:pt>
                <c:pt idx="133">
                  <c:v>17.625</c:v>
                </c:pt>
                <c:pt idx="134">
                  <c:v>17.75</c:v>
                </c:pt>
                <c:pt idx="135">
                  <c:v>17.875</c:v>
                </c:pt>
                <c:pt idx="136">
                  <c:v>18</c:v>
                </c:pt>
                <c:pt idx="137">
                  <c:v>18.125</c:v>
                </c:pt>
                <c:pt idx="138">
                  <c:v>18.25</c:v>
                </c:pt>
                <c:pt idx="139">
                  <c:v>18.375</c:v>
                </c:pt>
                <c:pt idx="140">
                  <c:v>18.5</c:v>
                </c:pt>
                <c:pt idx="141">
                  <c:v>18.625</c:v>
                </c:pt>
                <c:pt idx="142">
                  <c:v>18.75</c:v>
                </c:pt>
                <c:pt idx="143">
                  <c:v>18.875</c:v>
                </c:pt>
                <c:pt idx="144">
                  <c:v>19</c:v>
                </c:pt>
                <c:pt idx="145">
                  <c:v>19.125</c:v>
                </c:pt>
                <c:pt idx="146">
                  <c:v>19.25</c:v>
                </c:pt>
                <c:pt idx="147">
                  <c:v>19.375</c:v>
                </c:pt>
                <c:pt idx="148">
                  <c:v>19.5</c:v>
                </c:pt>
                <c:pt idx="149">
                  <c:v>19.625</c:v>
                </c:pt>
                <c:pt idx="150">
                  <c:v>19.75</c:v>
                </c:pt>
                <c:pt idx="151">
                  <c:v>19.875</c:v>
                </c:pt>
                <c:pt idx="152">
                  <c:v>20</c:v>
                </c:pt>
                <c:pt idx="153">
                  <c:v>20.125</c:v>
                </c:pt>
                <c:pt idx="154">
                  <c:v>20.25</c:v>
                </c:pt>
                <c:pt idx="155">
                  <c:v>20.375</c:v>
                </c:pt>
                <c:pt idx="156">
                  <c:v>20.5</c:v>
                </c:pt>
                <c:pt idx="157">
                  <c:v>20.625</c:v>
                </c:pt>
                <c:pt idx="158">
                  <c:v>20.75</c:v>
                </c:pt>
                <c:pt idx="159">
                  <c:v>20.875</c:v>
                </c:pt>
                <c:pt idx="160">
                  <c:v>21</c:v>
                </c:pt>
                <c:pt idx="161">
                  <c:v>21.125</c:v>
                </c:pt>
                <c:pt idx="162">
                  <c:v>21.25</c:v>
                </c:pt>
                <c:pt idx="163">
                  <c:v>21.375</c:v>
                </c:pt>
                <c:pt idx="164">
                  <c:v>21.5</c:v>
                </c:pt>
                <c:pt idx="165">
                  <c:v>21.625</c:v>
                </c:pt>
                <c:pt idx="166">
                  <c:v>21.75</c:v>
                </c:pt>
                <c:pt idx="167">
                  <c:v>21.875</c:v>
                </c:pt>
                <c:pt idx="168">
                  <c:v>22</c:v>
                </c:pt>
                <c:pt idx="169">
                  <c:v>22.125</c:v>
                </c:pt>
                <c:pt idx="170">
                  <c:v>22.25</c:v>
                </c:pt>
                <c:pt idx="171">
                  <c:v>22.375</c:v>
                </c:pt>
                <c:pt idx="172">
                  <c:v>22.5</c:v>
                </c:pt>
                <c:pt idx="173">
                  <c:v>22.625</c:v>
                </c:pt>
                <c:pt idx="174">
                  <c:v>22.75</c:v>
                </c:pt>
                <c:pt idx="175">
                  <c:v>22.875</c:v>
                </c:pt>
                <c:pt idx="176">
                  <c:v>23</c:v>
                </c:pt>
                <c:pt idx="177">
                  <c:v>23.125</c:v>
                </c:pt>
                <c:pt idx="178">
                  <c:v>23.25</c:v>
                </c:pt>
                <c:pt idx="179">
                  <c:v>23.375</c:v>
                </c:pt>
                <c:pt idx="180">
                  <c:v>23.5</c:v>
                </c:pt>
                <c:pt idx="181">
                  <c:v>23.625</c:v>
                </c:pt>
                <c:pt idx="182">
                  <c:v>23.75</c:v>
                </c:pt>
                <c:pt idx="183">
                  <c:v>23.875</c:v>
                </c:pt>
                <c:pt idx="184">
                  <c:v>24</c:v>
                </c:pt>
                <c:pt idx="185">
                  <c:v>24.125</c:v>
                </c:pt>
                <c:pt idx="186">
                  <c:v>24.25</c:v>
                </c:pt>
                <c:pt idx="187">
                  <c:v>24.375</c:v>
                </c:pt>
                <c:pt idx="188">
                  <c:v>24.5</c:v>
                </c:pt>
                <c:pt idx="189">
                  <c:v>24.625</c:v>
                </c:pt>
                <c:pt idx="190">
                  <c:v>24.75</c:v>
                </c:pt>
                <c:pt idx="191">
                  <c:v>24.875</c:v>
                </c:pt>
                <c:pt idx="192">
                  <c:v>25</c:v>
                </c:pt>
                <c:pt idx="193">
                  <c:v>25.125</c:v>
                </c:pt>
                <c:pt idx="194">
                  <c:v>25.25</c:v>
                </c:pt>
                <c:pt idx="195">
                  <c:v>25.375</c:v>
                </c:pt>
                <c:pt idx="196">
                  <c:v>25.5</c:v>
                </c:pt>
                <c:pt idx="197">
                  <c:v>25.625</c:v>
                </c:pt>
                <c:pt idx="198">
                  <c:v>25.75</c:v>
                </c:pt>
                <c:pt idx="199">
                  <c:v>25.875</c:v>
                </c:pt>
                <c:pt idx="200">
                  <c:v>26</c:v>
                </c:pt>
                <c:pt idx="201">
                  <c:v>26.125</c:v>
                </c:pt>
                <c:pt idx="202">
                  <c:v>26.25</c:v>
                </c:pt>
                <c:pt idx="203">
                  <c:v>26.375</c:v>
                </c:pt>
                <c:pt idx="204">
                  <c:v>26.5</c:v>
                </c:pt>
                <c:pt idx="205">
                  <c:v>26.625</c:v>
                </c:pt>
                <c:pt idx="206">
                  <c:v>26.75</c:v>
                </c:pt>
                <c:pt idx="207">
                  <c:v>26.875</c:v>
                </c:pt>
                <c:pt idx="208">
                  <c:v>27</c:v>
                </c:pt>
                <c:pt idx="209">
                  <c:v>27.125</c:v>
                </c:pt>
                <c:pt idx="210">
                  <c:v>27.25</c:v>
                </c:pt>
                <c:pt idx="211">
                  <c:v>27.375</c:v>
                </c:pt>
                <c:pt idx="212">
                  <c:v>27.5</c:v>
                </c:pt>
                <c:pt idx="213">
                  <c:v>27.625</c:v>
                </c:pt>
                <c:pt idx="214">
                  <c:v>27.75</c:v>
                </c:pt>
                <c:pt idx="215">
                  <c:v>27.875</c:v>
                </c:pt>
                <c:pt idx="216">
                  <c:v>28</c:v>
                </c:pt>
                <c:pt idx="217">
                  <c:v>28.125</c:v>
                </c:pt>
                <c:pt idx="218">
                  <c:v>28.25</c:v>
                </c:pt>
                <c:pt idx="219">
                  <c:v>28.375</c:v>
                </c:pt>
                <c:pt idx="220">
                  <c:v>28.5</c:v>
                </c:pt>
                <c:pt idx="221">
                  <c:v>28.625</c:v>
                </c:pt>
                <c:pt idx="222">
                  <c:v>28.75</c:v>
                </c:pt>
                <c:pt idx="223">
                  <c:v>28.875</c:v>
                </c:pt>
                <c:pt idx="224">
                  <c:v>29</c:v>
                </c:pt>
                <c:pt idx="225">
                  <c:v>29.125</c:v>
                </c:pt>
                <c:pt idx="226">
                  <c:v>29.25</c:v>
                </c:pt>
                <c:pt idx="227">
                  <c:v>29.375</c:v>
                </c:pt>
                <c:pt idx="228">
                  <c:v>29.5</c:v>
                </c:pt>
                <c:pt idx="229">
                  <c:v>29.625</c:v>
                </c:pt>
                <c:pt idx="230">
                  <c:v>29.75</c:v>
                </c:pt>
                <c:pt idx="231">
                  <c:v>29.875</c:v>
                </c:pt>
                <c:pt idx="232">
                  <c:v>30</c:v>
                </c:pt>
                <c:pt idx="233">
                  <c:v>30.125</c:v>
                </c:pt>
                <c:pt idx="234">
                  <c:v>30.25</c:v>
                </c:pt>
                <c:pt idx="235">
                  <c:v>30.375</c:v>
                </c:pt>
                <c:pt idx="236">
                  <c:v>30.5</c:v>
                </c:pt>
                <c:pt idx="237">
                  <c:v>30.625</c:v>
                </c:pt>
                <c:pt idx="238">
                  <c:v>30.75</c:v>
                </c:pt>
                <c:pt idx="239">
                  <c:v>30.875</c:v>
                </c:pt>
                <c:pt idx="240">
                  <c:v>31</c:v>
                </c:pt>
                <c:pt idx="241">
                  <c:v>31.125</c:v>
                </c:pt>
                <c:pt idx="242">
                  <c:v>31.25</c:v>
                </c:pt>
                <c:pt idx="243">
                  <c:v>31.375</c:v>
                </c:pt>
                <c:pt idx="244">
                  <c:v>31.5</c:v>
                </c:pt>
                <c:pt idx="245">
                  <c:v>31.625</c:v>
                </c:pt>
                <c:pt idx="246">
                  <c:v>31.75</c:v>
                </c:pt>
                <c:pt idx="247">
                  <c:v>31.875</c:v>
                </c:pt>
                <c:pt idx="248">
                  <c:v>32</c:v>
                </c:pt>
              </c:numCache>
            </c:numRef>
          </c:xVal>
          <c:yVal>
            <c:numRef>
              <c:f>topo!$BJ$2:$BJ$250</c:f>
              <c:numCache>
                <c:formatCode>General</c:formatCode>
                <c:ptCount val="249"/>
                <c:pt idx="0">
                  <c:v>374557.589526501</c:v>
                </c:pt>
                <c:pt idx="1">
                  <c:v>376730.592519652</c:v>
                </c:pt>
                <c:pt idx="2">
                  <c:v>376158.566745739</c:v>
                </c:pt>
                <c:pt idx="3">
                  <c:v>373038.860259558</c:v>
                </c:pt>
                <c:pt idx="4">
                  <c:v>368919.653322913</c:v>
                </c:pt>
                <c:pt idx="5">
                  <c:v>365918.249941163</c:v>
                </c:pt>
                <c:pt idx="6">
                  <c:v>365574.008839453</c:v>
                </c:pt>
                <c:pt idx="7">
                  <c:v>367956.306940663</c:v>
                </c:pt>
                <c:pt idx="8">
                  <c:v>371630.792006549</c:v>
                </c:pt>
                <c:pt idx="9">
                  <c:v>374505.034037048</c:v>
                </c:pt>
                <c:pt idx="10">
                  <c:v>374969.294610657</c:v>
                </c:pt>
                <c:pt idx="11">
                  <c:v>372701.175226395</c:v>
                </c:pt>
                <c:pt idx="12">
                  <c:v>368815.243912085</c:v>
                </c:pt>
                <c:pt idx="13">
                  <c:v>365314.938830494</c:v>
                </c:pt>
                <c:pt idx="14">
                  <c:v>364041.491123819</c:v>
                </c:pt>
                <c:pt idx="15">
                  <c:v>365628.238810599</c:v>
                </c:pt>
                <c:pt idx="16">
                  <c:v>369123.585497181</c:v>
                </c:pt>
                <c:pt idx="17">
                  <c:v>372555.851797367</c:v>
                </c:pt>
                <c:pt idx="18">
                  <c:v>374036.384176251</c:v>
                </c:pt>
                <c:pt idx="19">
                  <c:v>372733.016610802</c:v>
                </c:pt>
                <c:pt idx="20">
                  <c:v>369275.161841585</c:v>
                </c:pt>
                <c:pt idx="21">
                  <c:v>365454.303570754</c:v>
                </c:pt>
                <c:pt idx="22">
                  <c:v>363313.735934202</c:v>
                </c:pt>
                <c:pt idx="23">
                  <c:v>364015.737719681</c:v>
                </c:pt>
                <c:pt idx="24">
                  <c:v>367149.366566404</c:v>
                </c:pt>
                <c:pt idx="25">
                  <c:v>370970.272742328</c:v>
                </c:pt>
                <c:pt idx="26">
                  <c:v>373399.943744894</c:v>
                </c:pt>
                <c:pt idx="27">
                  <c:v>373131.697819272</c:v>
                </c:pt>
                <c:pt idx="28">
                  <c:v>370282.15286102</c:v>
                </c:pt>
                <c:pt idx="29">
                  <c:v>366345.894379294</c:v>
                </c:pt>
                <c:pt idx="30">
                  <c:v>363458.838377157</c:v>
                </c:pt>
                <c:pt idx="31">
                  <c:v>363244.592782386</c:v>
                </c:pt>
                <c:pt idx="32">
                  <c:v>365858.24686706</c:v>
                </c:pt>
                <c:pt idx="33">
                  <c:v>369880.503220639</c:v>
                </c:pt>
                <c:pt idx="34">
                  <c:v>373146.721978092</c:v>
                </c:pt>
                <c:pt idx="35">
                  <c:v>373935.887476188</c:v>
                </c:pt>
                <c:pt idx="36">
                  <c:v>371849.135115491</c:v>
                </c:pt>
                <c:pt idx="37">
                  <c:v>368016.1105546</c:v>
                </c:pt>
                <c:pt idx="38">
                  <c:v>364553.495520686</c:v>
                </c:pt>
                <c:pt idx="39">
                  <c:v>363451.241573512</c:v>
                </c:pt>
                <c:pt idx="40">
                  <c:v>365420.249789687</c:v>
                </c:pt>
                <c:pt idx="41">
                  <c:v>369447.390361544</c:v>
                </c:pt>
                <c:pt idx="42">
                  <c:v>373395.120066383</c:v>
                </c:pt>
                <c:pt idx="43">
                  <c:v>375211.581100445</c:v>
                </c:pt>
                <c:pt idx="44">
                  <c:v>374004.820315578</c:v>
                </c:pt>
                <c:pt idx="45">
                  <c:v>370491.018669028</c:v>
                </c:pt>
                <c:pt idx="46">
                  <c:v>366660.242892261</c:v>
                </c:pt>
                <c:pt idx="47">
                  <c:v>364754.067389926</c:v>
                </c:pt>
                <c:pt idx="48">
                  <c:v>365993.752197457</c:v>
                </c:pt>
                <c:pt idx="49">
                  <c:v>369829.635682114</c:v>
                </c:pt>
                <c:pt idx="50">
                  <c:v>374266.857128723</c:v>
                </c:pt>
                <c:pt idx="51">
                  <c:v>377026.071303522</c:v>
                </c:pt>
                <c:pt idx="52">
                  <c:v>376768.729964067</c:v>
                </c:pt>
                <c:pt idx="53">
                  <c:v>373770.043617968</c:v>
                </c:pt>
                <c:pt idx="54">
                  <c:v>369796.665329883</c:v>
                </c:pt>
                <c:pt idx="55">
                  <c:v>367216.624342657</c:v>
                </c:pt>
                <c:pt idx="56">
                  <c:v>367685.122721636</c:v>
                </c:pt>
                <c:pt idx="57">
                  <c:v>371144.159877453</c:v>
                </c:pt>
                <c:pt idx="58">
                  <c:v>375850.866258754</c:v>
                </c:pt>
                <c:pt idx="59">
                  <c:v>379415.927183801</c:v>
                </c:pt>
                <c:pt idx="60">
                  <c:v>380122.373424389</c:v>
                </c:pt>
                <c:pt idx="61">
                  <c:v>377798.301544022</c:v>
                </c:pt>
                <c:pt idx="62">
                  <c:v>373905.623877085</c:v>
                </c:pt>
                <c:pt idx="63">
                  <c:v>370812.988554089</c:v>
                </c:pt>
                <c:pt idx="64">
                  <c:v>370509.983868523</c:v>
                </c:pt>
                <c:pt idx="65">
                  <c:v>373427.330119355</c:v>
                </c:pt>
                <c:pt idx="66">
                  <c:v>378168.253524079</c:v>
                </c:pt>
                <c:pt idx="67">
                  <c:v>382357.327100819</c:v>
                </c:pt>
                <c:pt idx="68">
                  <c:v>383984.953702388</c:v>
                </c:pt>
                <c:pt idx="69">
                  <c:v>382446.458821481</c:v>
                </c:pt>
                <c:pt idx="70">
                  <c:v>378836.463070735</c:v>
                </c:pt>
                <c:pt idx="71">
                  <c:v>375406.609353531</c:v>
                </c:pt>
                <c:pt idx="72">
                  <c:v>374368.202954823</c:v>
                </c:pt>
                <c:pt idx="73">
                  <c:v>376608.527677521</c:v>
                </c:pt>
                <c:pt idx="74">
                  <c:v>381148.3555888</c:v>
                </c:pt>
                <c:pt idx="75">
                  <c:v>385747.341857577</c:v>
                </c:pt>
                <c:pt idx="76">
                  <c:v>388201.138210198</c:v>
                </c:pt>
                <c:pt idx="77">
                  <c:v>387505.061982364</c:v>
                </c:pt>
                <c:pt idx="78">
                  <c:v>384344.186293831</c:v>
                </c:pt>
                <c:pt idx="79">
                  <c:v>380750.482997142</c:v>
                </c:pt>
                <c:pt idx="80">
                  <c:v>379041.400385509</c:v>
                </c:pt>
                <c:pt idx="81">
                  <c:v>380504.791331005</c:v>
                </c:pt>
                <c:pt idx="82">
                  <c:v>384623.397773288</c:v>
                </c:pt>
                <c:pt idx="83">
                  <c:v>389401.896760219</c:v>
                </c:pt>
                <c:pt idx="84">
                  <c:v>392544.791428782</c:v>
                </c:pt>
                <c:pt idx="85">
                  <c:v>392695.524857349</c:v>
                </c:pt>
                <c:pt idx="86">
                  <c:v>390107.455864962</c:v>
                </c:pt>
                <c:pt idx="87">
                  <c:v>386509.120941262</c:v>
                </c:pt>
                <c:pt idx="88">
                  <c:v>384214.111195456</c:v>
                </c:pt>
                <c:pt idx="89">
                  <c:v>384838.359043913</c:v>
                </c:pt>
                <c:pt idx="90">
                  <c:v>388343.352422765</c:v>
                </c:pt>
                <c:pt idx="91">
                  <c:v>393070.890017777</c:v>
                </c:pt>
                <c:pt idx="92">
                  <c:v>396737.447019457</c:v>
                </c:pt>
                <c:pt idx="93">
                  <c:v>397694.479665224</c:v>
                </c:pt>
                <c:pt idx="94">
                  <c:v>395759.97094909</c:v>
                </c:pt>
                <c:pt idx="95">
                  <c:v>392295.372062245</c:v>
                </c:pt>
                <c:pt idx="96">
                  <c:v>389511.632402916</c:v>
                </c:pt>
                <c:pt idx="97">
                  <c:v>389271.23547779</c:v>
                </c:pt>
                <c:pt idx="98">
                  <c:v>392006.123644722</c:v>
                </c:pt>
                <c:pt idx="99">
                  <c:v>396465.791507835</c:v>
                </c:pt>
                <c:pt idx="100">
                  <c:v>400476.185904412</c:v>
                </c:pt>
                <c:pt idx="101">
                  <c:v>402164.771900682</c:v>
                </c:pt>
                <c:pt idx="102">
                  <c:v>400926.609422757</c:v>
                </c:pt>
                <c:pt idx="103">
                  <c:v>397711.694699573</c:v>
                </c:pt>
                <c:pt idx="104">
                  <c:v>394543.500915219</c:v>
                </c:pt>
                <c:pt idx="105">
                  <c:v>393446.640490706</c:v>
                </c:pt>
                <c:pt idx="106">
                  <c:v>395294.553204321</c:v>
                </c:pt>
                <c:pt idx="107">
                  <c:v>399292.570128363</c:v>
                </c:pt>
                <c:pt idx="108">
                  <c:v>403464.41067881</c:v>
                </c:pt>
                <c:pt idx="109">
                  <c:v>405786.474155086</c:v>
                </c:pt>
                <c:pt idx="110">
                  <c:v>405256.904329012</c:v>
                </c:pt>
                <c:pt idx="111">
                  <c:v>402387.231067491</c:v>
                </c:pt>
                <c:pt idx="112">
                  <c:v>398943.087136786</c:v>
                </c:pt>
                <c:pt idx="113">
                  <c:v>397028.121142947</c:v>
                </c:pt>
                <c:pt idx="114">
                  <c:v>397912.386773733</c:v>
                </c:pt>
                <c:pt idx="115">
                  <c:v>401283.742897906</c:v>
                </c:pt>
                <c:pt idx="116">
                  <c:v>405440.705851984</c:v>
                </c:pt>
                <c:pt idx="117">
                  <c:v>408284.031634022</c:v>
                </c:pt>
                <c:pt idx="118">
                  <c:v>408452.302908356</c:v>
                </c:pt>
                <c:pt idx="119">
                  <c:v>406006.806715606</c:v>
                </c:pt>
                <c:pt idx="120">
                  <c:v>402398.718865034</c:v>
                </c:pt>
                <c:pt idx="121">
                  <c:v>399731.384235072</c:v>
                </c:pt>
                <c:pt idx="122">
                  <c:v>399614.716076289</c:v>
                </c:pt>
                <c:pt idx="123">
                  <c:v>402226.129110319</c:v>
                </c:pt>
                <c:pt idx="124">
                  <c:v>406203.644163945</c:v>
                </c:pt>
                <c:pt idx="125">
                  <c:v>409448.606612712</c:v>
                </c:pt>
                <c:pt idx="126">
                  <c:v>410287.173583529</c:v>
                </c:pt>
                <c:pt idx="127">
                  <c:v>408332.121314748</c:v>
                </c:pt>
                <c:pt idx="128">
                  <c:v>404676.184290841</c:v>
                </c:pt>
                <c:pt idx="129">
                  <c:v>401347.959574815</c:v>
                </c:pt>
                <c:pt idx="130">
                  <c:v>400231.582260249</c:v>
                </c:pt>
                <c:pt idx="131">
                  <c:v>401983.140718514</c:v>
                </c:pt>
                <c:pt idx="132">
                  <c:v>405631.970773405</c:v>
                </c:pt>
                <c:pt idx="133">
                  <c:v>409155.891572126</c:v>
                </c:pt>
                <c:pt idx="134">
                  <c:v>410624.654474818</c:v>
                </c:pt>
                <c:pt idx="135">
                  <c:v>409216.706140561</c:v>
                </c:pt>
                <c:pt idx="136">
                  <c:v>405634.032064634</c:v>
                </c:pt>
                <c:pt idx="137">
                  <c:v>401761.384498376</c:v>
                </c:pt>
                <c:pt idx="138">
                  <c:v>399684.616207781</c:v>
                </c:pt>
                <c:pt idx="139">
                  <c:v>400511.008407343</c:v>
                </c:pt>
                <c:pt idx="140">
                  <c:v>403699.531073503</c:v>
                </c:pt>
                <c:pt idx="141">
                  <c:v>407379.064908823</c:v>
                </c:pt>
                <c:pt idx="142">
                  <c:v>409427.49144017</c:v>
                </c:pt>
                <c:pt idx="143">
                  <c:v>408615.197590474</c:v>
                </c:pt>
                <c:pt idx="144">
                  <c:v>405232.267861891</c:v>
                </c:pt>
                <c:pt idx="145">
                  <c:v>400956.094339751</c:v>
                </c:pt>
                <c:pt idx="146">
                  <c:v>397996.248105191</c:v>
                </c:pt>
                <c:pt idx="147">
                  <c:v>397867.936606043</c:v>
                </c:pt>
                <c:pt idx="148">
                  <c:v>400483.68624175</c:v>
                </c:pt>
                <c:pt idx="149">
                  <c:v>404195.658069865</c:v>
                </c:pt>
                <c:pt idx="150">
                  <c:v>406762.845486551</c:v>
                </c:pt>
                <c:pt idx="151">
                  <c:v>406586.1897074</c:v>
                </c:pt>
                <c:pt idx="152">
                  <c:v>403533.897878328</c:v>
                </c:pt>
                <c:pt idx="153">
                  <c:v>399018.412526024</c:v>
                </c:pt>
                <c:pt idx="154">
                  <c:v>395290.619044543</c:v>
                </c:pt>
                <c:pt idx="155">
                  <c:v>394215.058596982</c:v>
                </c:pt>
                <c:pt idx="156">
                  <c:v>396165.977800279</c:v>
                </c:pt>
                <c:pt idx="157">
                  <c:v>399787.140990434</c:v>
                </c:pt>
                <c:pt idx="158">
                  <c:v>402800.021468164</c:v>
                </c:pt>
                <c:pt idx="159">
                  <c:v>403287.820189134</c:v>
                </c:pt>
                <c:pt idx="160">
                  <c:v>400698.66677252</c:v>
                </c:pt>
                <c:pt idx="161">
                  <c:v>396129.068285595</c:v>
                </c:pt>
                <c:pt idx="162">
                  <c:v>391785.566387211</c:v>
                </c:pt>
                <c:pt idx="163">
                  <c:v>389808.493287197</c:v>
                </c:pt>
                <c:pt idx="164">
                  <c:v>391024.398578866</c:v>
                </c:pt>
                <c:pt idx="165">
                  <c:v>394430.76271975</c:v>
                </c:pt>
                <c:pt idx="166">
                  <c:v>397800.859916493</c:v>
                </c:pt>
                <c:pt idx="167">
                  <c:v>398965.995283558</c:v>
                </c:pt>
                <c:pt idx="168">
                  <c:v>396968.978981456</c:v>
                </c:pt>
                <c:pt idx="169">
                  <c:v>392547.179571975</c:v>
                </c:pt>
                <c:pt idx="170">
                  <c:v>387775.424855142</c:v>
                </c:pt>
                <c:pt idx="171">
                  <c:v>384982.041651438</c:v>
                </c:pt>
                <c:pt idx="172">
                  <c:v>385416.806117655</c:v>
                </c:pt>
                <c:pt idx="173">
                  <c:v>388483.427524851</c:v>
                </c:pt>
                <c:pt idx="174">
                  <c:v>392102.897897147</c:v>
                </c:pt>
                <c:pt idx="175">
                  <c:v>393935.592553315</c:v>
                </c:pt>
                <c:pt idx="176">
                  <c:v>392648.389788496</c:v>
                </c:pt>
                <c:pt idx="177">
                  <c:v>388585.894573705</c:v>
                </c:pt>
                <c:pt idx="178">
                  <c:v>383604.400363674</c:v>
                </c:pt>
                <c:pt idx="179">
                  <c:v>380119.759928627</c:v>
                </c:pt>
                <c:pt idx="180">
                  <c:v>379754.446542847</c:v>
                </c:pt>
                <c:pt idx="181">
                  <c:v>382356.760450022</c:v>
                </c:pt>
                <c:pt idx="182">
                  <c:v>386094.93905238</c:v>
                </c:pt>
                <c:pt idx="183">
                  <c:v>388554.779061724</c:v>
                </c:pt>
                <c:pt idx="184">
                  <c:v>388073.118403792</c:v>
                </c:pt>
                <c:pt idx="185">
                  <c:v>384580.167112038</c:v>
                </c:pt>
                <c:pt idx="186">
                  <c:v>379630.65292033</c:v>
                </c:pt>
                <c:pt idx="187">
                  <c:v>375617.913305498</c:v>
                </c:pt>
                <c:pt idx="188">
                  <c:v>374464.543046834</c:v>
                </c:pt>
                <c:pt idx="189">
                  <c:v>376482.306359006</c:v>
                </c:pt>
                <c:pt idx="190">
                  <c:v>380184.549186113</c:v>
                </c:pt>
                <c:pt idx="191">
                  <c:v>383192.8208704</c:v>
                </c:pt>
                <c:pt idx="192">
                  <c:v>383577.833584553</c:v>
                </c:pt>
                <c:pt idx="193">
                  <c:v>380848.623323867</c:v>
                </c:pt>
                <c:pt idx="194">
                  <c:v>376183.378141212</c:v>
                </c:pt>
                <c:pt idx="195">
                  <c:v>371838.3578599</c:v>
                </c:pt>
                <c:pt idx="196">
                  <c:v>369943.348648562</c:v>
                </c:pt>
                <c:pt idx="197">
                  <c:v>371267.859106605</c:v>
                </c:pt>
                <c:pt idx="198">
                  <c:v>374758.780594352</c:v>
                </c:pt>
                <c:pt idx="199">
                  <c:v>378193.631257605</c:v>
                </c:pt>
                <c:pt idx="200">
                  <c:v>379459.290622709</c:v>
                </c:pt>
                <c:pt idx="201">
                  <c:v>377654.591923222</c:v>
                </c:pt>
                <c:pt idx="202">
                  <c:v>373519.282266571</c:v>
                </c:pt>
                <c:pt idx="203">
                  <c:v>369060.351751381</c:v>
                </c:pt>
                <c:pt idx="204">
                  <c:v>366506.215449015</c:v>
                </c:pt>
                <c:pt idx="205">
                  <c:v>367050.510777375</c:v>
                </c:pt>
                <c:pt idx="206">
                  <c:v>370143.194484232</c:v>
                </c:pt>
                <c:pt idx="207">
                  <c:v>373840.464748281</c:v>
                </c:pt>
                <c:pt idx="208">
                  <c:v>375944.350926127</c:v>
                </c:pt>
                <c:pt idx="209">
                  <c:v>375174.541258496</c:v>
                </c:pt>
                <c:pt idx="210">
                  <c:v>371788.647257711</c:v>
                </c:pt>
                <c:pt idx="211">
                  <c:v>367442.46086116</c:v>
                </c:pt>
                <c:pt idx="212">
                  <c:v>364346.418023011</c:v>
                </c:pt>
                <c:pt idx="213">
                  <c:v>364056.805298665</c:v>
                </c:pt>
                <c:pt idx="214">
                  <c:v>366567.918466783</c:v>
                </c:pt>
                <c:pt idx="215">
                  <c:v>370329.551322874</c:v>
                </c:pt>
                <c:pt idx="216">
                  <c:v>373170.199982653</c:v>
                </c:pt>
                <c:pt idx="217">
                  <c:v>373482.634087564</c:v>
                </c:pt>
                <c:pt idx="218">
                  <c:v>371021.263081626</c:v>
                </c:pt>
                <c:pt idx="219">
                  <c:v>367006.547856288</c:v>
                </c:pt>
                <c:pt idx="220">
                  <c:v>363515.470803884</c:v>
                </c:pt>
                <c:pt idx="221">
                  <c:v>362381.668595772</c:v>
                </c:pt>
                <c:pt idx="222">
                  <c:v>364150.139646961</c:v>
                </c:pt>
                <c:pt idx="223">
                  <c:v>367759.864149837</c:v>
                </c:pt>
                <c:pt idx="224">
                  <c:v>371182.444526493</c:v>
                </c:pt>
                <c:pt idx="225">
                  <c:v>372556.355710434</c:v>
                </c:pt>
                <c:pt idx="226">
                  <c:v>371137.293471934</c:v>
                </c:pt>
                <c:pt idx="227">
                  <c:v>367649.871275972</c:v>
                </c:pt>
                <c:pt idx="228">
                  <c:v>363932.134226212</c:v>
                </c:pt>
                <c:pt idx="229">
                  <c:v>361993.318172706</c:v>
                </c:pt>
                <c:pt idx="230">
                  <c:v>362898.572533934</c:v>
                </c:pt>
                <c:pt idx="231">
                  <c:v>366142.066774015</c:v>
                </c:pt>
                <c:pt idx="232">
                  <c:v>369951.628840344</c:v>
                </c:pt>
                <c:pt idx="233">
                  <c:v>372301.544868999</c:v>
                </c:pt>
                <c:pt idx="234">
                  <c:v>371979.783663048</c:v>
                </c:pt>
                <c:pt idx="235">
                  <c:v>369181.536877928</c:v>
                </c:pt>
                <c:pt idx="236">
                  <c:v>365417.279703312</c:v>
                </c:pt>
                <c:pt idx="237">
                  <c:v>362762.553561408</c:v>
                </c:pt>
                <c:pt idx="238">
                  <c:v>362738.308762152</c:v>
                </c:pt>
                <c:pt idx="239">
                  <c:v>365423.63058693</c:v>
                </c:pt>
                <c:pt idx="240">
                  <c:v>369402.942656188</c:v>
                </c:pt>
                <c:pt idx="241">
                  <c:v>372589.029921898</c:v>
                </c:pt>
                <c:pt idx="242">
                  <c:v>373358.510565642</c:v>
                </c:pt>
                <c:pt idx="243">
                  <c:v>371371.349483076</c:v>
                </c:pt>
                <c:pt idx="244">
                  <c:v>367742.779692668</c:v>
                </c:pt>
                <c:pt idx="245">
                  <c:v>364506.293545266</c:v>
                </c:pt>
                <c:pt idx="246">
                  <c:v>363547.537978885</c:v>
                </c:pt>
                <c:pt idx="247">
                  <c:v>365521.975168298</c:v>
                </c:pt>
                <c:pt idx="248">
                  <c:v>369450.161100826</c:v>
                </c:pt>
              </c:numCache>
            </c:numRef>
          </c:yVal>
          <c:smooth val="0"/>
        </c:ser>
        <c:axId val="88487946"/>
        <c:axId val="36943730"/>
      </c:scatterChart>
      <c:valAx>
        <c:axId val="88487946"/>
        <c:scaling>
          <c:orientation val="minMax"/>
          <c:max val="32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881740623490905"/>
              <c:y val="0.82231884057971"/>
            </c:manualLayout>
          </c:layout>
          <c:overlay val="0"/>
          <c:spPr>
            <a:noFill/>
            <a:ln w="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943730"/>
        <c:crosses val="autoZero"/>
        <c:crossBetween val="between"/>
        <c:majorUnit val="1"/>
      </c:valAx>
      <c:valAx>
        <c:axId val="36943730"/>
        <c:scaling>
          <c:orientation val="minMax"/>
          <c:max val="420000"/>
          <c:min val="3600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8487946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Geocentric Distance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32847640165"/>
          <c:y val="0.111478117258464"/>
          <c:w val="0.851377890402281"/>
          <c:h val="0.801403798513625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topo!$AY$2:$AY$250</c:f>
              <c:numCache>
                <c:formatCode>General</c:formatCode>
                <c:ptCount val="249"/>
                <c:pt idx="0">
                  <c:v>1</c:v>
                </c:pt>
                <c:pt idx="1">
                  <c:v>1.125</c:v>
                </c:pt>
                <c:pt idx="2">
                  <c:v>1.25</c:v>
                </c:pt>
                <c:pt idx="3">
                  <c:v>1.375</c:v>
                </c:pt>
                <c:pt idx="4">
                  <c:v>1.5</c:v>
                </c:pt>
                <c:pt idx="5">
                  <c:v>1.625</c:v>
                </c:pt>
                <c:pt idx="6">
                  <c:v>1.75</c:v>
                </c:pt>
                <c:pt idx="7">
                  <c:v>1.875</c:v>
                </c:pt>
                <c:pt idx="8">
                  <c:v>2</c:v>
                </c:pt>
                <c:pt idx="9">
                  <c:v>2.125</c:v>
                </c:pt>
                <c:pt idx="10">
                  <c:v>2.25</c:v>
                </c:pt>
                <c:pt idx="11">
                  <c:v>2.375</c:v>
                </c:pt>
                <c:pt idx="12">
                  <c:v>2.5</c:v>
                </c:pt>
                <c:pt idx="13">
                  <c:v>2.625</c:v>
                </c:pt>
                <c:pt idx="14">
                  <c:v>2.75</c:v>
                </c:pt>
                <c:pt idx="15">
                  <c:v>2.875</c:v>
                </c:pt>
                <c:pt idx="16">
                  <c:v>3</c:v>
                </c:pt>
                <c:pt idx="17">
                  <c:v>3.125</c:v>
                </c:pt>
                <c:pt idx="18">
                  <c:v>3.25</c:v>
                </c:pt>
                <c:pt idx="19">
                  <c:v>3.375</c:v>
                </c:pt>
                <c:pt idx="20">
                  <c:v>3.5</c:v>
                </c:pt>
                <c:pt idx="21">
                  <c:v>3.625</c:v>
                </c:pt>
                <c:pt idx="22">
                  <c:v>3.75</c:v>
                </c:pt>
                <c:pt idx="23">
                  <c:v>3.875</c:v>
                </c:pt>
                <c:pt idx="24">
                  <c:v>4</c:v>
                </c:pt>
                <c:pt idx="25">
                  <c:v>4.125</c:v>
                </c:pt>
                <c:pt idx="26">
                  <c:v>4.25</c:v>
                </c:pt>
                <c:pt idx="27">
                  <c:v>4.375</c:v>
                </c:pt>
                <c:pt idx="28">
                  <c:v>4.5</c:v>
                </c:pt>
                <c:pt idx="29">
                  <c:v>4.625</c:v>
                </c:pt>
                <c:pt idx="30">
                  <c:v>4.75</c:v>
                </c:pt>
                <c:pt idx="31">
                  <c:v>4.875</c:v>
                </c:pt>
                <c:pt idx="32">
                  <c:v>5</c:v>
                </c:pt>
                <c:pt idx="33">
                  <c:v>5.125</c:v>
                </c:pt>
                <c:pt idx="34">
                  <c:v>5.25</c:v>
                </c:pt>
                <c:pt idx="35">
                  <c:v>5.375</c:v>
                </c:pt>
                <c:pt idx="36">
                  <c:v>5.5</c:v>
                </c:pt>
                <c:pt idx="37">
                  <c:v>5.625</c:v>
                </c:pt>
                <c:pt idx="38">
                  <c:v>5.75</c:v>
                </c:pt>
                <c:pt idx="39">
                  <c:v>5.875</c:v>
                </c:pt>
                <c:pt idx="40">
                  <c:v>6</c:v>
                </c:pt>
                <c:pt idx="41">
                  <c:v>6.125</c:v>
                </c:pt>
                <c:pt idx="42">
                  <c:v>6.25</c:v>
                </c:pt>
                <c:pt idx="43">
                  <c:v>6.375</c:v>
                </c:pt>
                <c:pt idx="44">
                  <c:v>6.5</c:v>
                </c:pt>
                <c:pt idx="45">
                  <c:v>6.625</c:v>
                </c:pt>
                <c:pt idx="46">
                  <c:v>6.75</c:v>
                </c:pt>
                <c:pt idx="47">
                  <c:v>6.875</c:v>
                </c:pt>
                <c:pt idx="48">
                  <c:v>7</c:v>
                </c:pt>
                <c:pt idx="49">
                  <c:v>7.125</c:v>
                </c:pt>
                <c:pt idx="50">
                  <c:v>7.25</c:v>
                </c:pt>
                <c:pt idx="51">
                  <c:v>7.375</c:v>
                </c:pt>
                <c:pt idx="52">
                  <c:v>7.5</c:v>
                </c:pt>
                <c:pt idx="53">
                  <c:v>7.625</c:v>
                </c:pt>
                <c:pt idx="54">
                  <c:v>7.75</c:v>
                </c:pt>
                <c:pt idx="55">
                  <c:v>7.875</c:v>
                </c:pt>
                <c:pt idx="56">
                  <c:v>8</c:v>
                </c:pt>
                <c:pt idx="57">
                  <c:v>8.125</c:v>
                </c:pt>
                <c:pt idx="58">
                  <c:v>8.25</c:v>
                </c:pt>
                <c:pt idx="59">
                  <c:v>8.375</c:v>
                </c:pt>
                <c:pt idx="60">
                  <c:v>8.5</c:v>
                </c:pt>
                <c:pt idx="61">
                  <c:v>8.625</c:v>
                </c:pt>
                <c:pt idx="62">
                  <c:v>8.75</c:v>
                </c:pt>
                <c:pt idx="63">
                  <c:v>8.875</c:v>
                </c:pt>
                <c:pt idx="64">
                  <c:v>9</c:v>
                </c:pt>
                <c:pt idx="65">
                  <c:v>9.125</c:v>
                </c:pt>
                <c:pt idx="66">
                  <c:v>9.25</c:v>
                </c:pt>
                <c:pt idx="67">
                  <c:v>9.375</c:v>
                </c:pt>
                <c:pt idx="68">
                  <c:v>9.5</c:v>
                </c:pt>
                <c:pt idx="69">
                  <c:v>9.625</c:v>
                </c:pt>
                <c:pt idx="70">
                  <c:v>9.75</c:v>
                </c:pt>
                <c:pt idx="71">
                  <c:v>9.875</c:v>
                </c:pt>
                <c:pt idx="72">
                  <c:v>10</c:v>
                </c:pt>
                <c:pt idx="73">
                  <c:v>10.125</c:v>
                </c:pt>
                <c:pt idx="74">
                  <c:v>10.25</c:v>
                </c:pt>
                <c:pt idx="75">
                  <c:v>10.375</c:v>
                </c:pt>
                <c:pt idx="76">
                  <c:v>10.5</c:v>
                </c:pt>
                <c:pt idx="77">
                  <c:v>10.625</c:v>
                </c:pt>
                <c:pt idx="78">
                  <c:v>10.75</c:v>
                </c:pt>
                <c:pt idx="79">
                  <c:v>10.875</c:v>
                </c:pt>
                <c:pt idx="80">
                  <c:v>11</c:v>
                </c:pt>
                <c:pt idx="81">
                  <c:v>11.125</c:v>
                </c:pt>
                <c:pt idx="82">
                  <c:v>11.25</c:v>
                </c:pt>
                <c:pt idx="83">
                  <c:v>11.375</c:v>
                </c:pt>
                <c:pt idx="84">
                  <c:v>11.5</c:v>
                </c:pt>
                <c:pt idx="85">
                  <c:v>11.625</c:v>
                </c:pt>
                <c:pt idx="86">
                  <c:v>11.75</c:v>
                </c:pt>
                <c:pt idx="87">
                  <c:v>11.875</c:v>
                </c:pt>
                <c:pt idx="88">
                  <c:v>12</c:v>
                </c:pt>
                <c:pt idx="89">
                  <c:v>12.125</c:v>
                </c:pt>
                <c:pt idx="90">
                  <c:v>12.25</c:v>
                </c:pt>
                <c:pt idx="91">
                  <c:v>12.375</c:v>
                </c:pt>
                <c:pt idx="92">
                  <c:v>12.5</c:v>
                </c:pt>
                <c:pt idx="93">
                  <c:v>12.625</c:v>
                </c:pt>
                <c:pt idx="94">
                  <c:v>12.75</c:v>
                </c:pt>
                <c:pt idx="95">
                  <c:v>12.875</c:v>
                </c:pt>
                <c:pt idx="96">
                  <c:v>13</c:v>
                </c:pt>
                <c:pt idx="97">
                  <c:v>13.125</c:v>
                </c:pt>
                <c:pt idx="98">
                  <c:v>13.25</c:v>
                </c:pt>
                <c:pt idx="99">
                  <c:v>13.375</c:v>
                </c:pt>
                <c:pt idx="100">
                  <c:v>13.5</c:v>
                </c:pt>
                <c:pt idx="101">
                  <c:v>13.625</c:v>
                </c:pt>
                <c:pt idx="102">
                  <c:v>13.75</c:v>
                </c:pt>
                <c:pt idx="103">
                  <c:v>13.875</c:v>
                </c:pt>
                <c:pt idx="104">
                  <c:v>14</c:v>
                </c:pt>
                <c:pt idx="105">
                  <c:v>14.125</c:v>
                </c:pt>
                <c:pt idx="106">
                  <c:v>14.25</c:v>
                </c:pt>
                <c:pt idx="107">
                  <c:v>14.375</c:v>
                </c:pt>
                <c:pt idx="108">
                  <c:v>14.5</c:v>
                </c:pt>
                <c:pt idx="109">
                  <c:v>14.625</c:v>
                </c:pt>
                <c:pt idx="110">
                  <c:v>14.75</c:v>
                </c:pt>
                <c:pt idx="111">
                  <c:v>14.875</c:v>
                </c:pt>
                <c:pt idx="112">
                  <c:v>15</c:v>
                </c:pt>
                <c:pt idx="113">
                  <c:v>15.125</c:v>
                </c:pt>
                <c:pt idx="114">
                  <c:v>15.25</c:v>
                </c:pt>
                <c:pt idx="115">
                  <c:v>15.375</c:v>
                </c:pt>
                <c:pt idx="116">
                  <c:v>15.5</c:v>
                </c:pt>
                <c:pt idx="117">
                  <c:v>15.625</c:v>
                </c:pt>
                <c:pt idx="118">
                  <c:v>15.75</c:v>
                </c:pt>
                <c:pt idx="119">
                  <c:v>15.875</c:v>
                </c:pt>
                <c:pt idx="120">
                  <c:v>16</c:v>
                </c:pt>
                <c:pt idx="121">
                  <c:v>16.125</c:v>
                </c:pt>
                <c:pt idx="122">
                  <c:v>16.25</c:v>
                </c:pt>
                <c:pt idx="123">
                  <c:v>16.375</c:v>
                </c:pt>
                <c:pt idx="124">
                  <c:v>16.5</c:v>
                </c:pt>
                <c:pt idx="125">
                  <c:v>16.625</c:v>
                </c:pt>
                <c:pt idx="126">
                  <c:v>16.75</c:v>
                </c:pt>
                <c:pt idx="127">
                  <c:v>16.875</c:v>
                </c:pt>
                <c:pt idx="128">
                  <c:v>17</c:v>
                </c:pt>
                <c:pt idx="129">
                  <c:v>17.125</c:v>
                </c:pt>
                <c:pt idx="130">
                  <c:v>17.25</c:v>
                </c:pt>
                <c:pt idx="131">
                  <c:v>17.375</c:v>
                </c:pt>
                <c:pt idx="132">
                  <c:v>17.5</c:v>
                </c:pt>
                <c:pt idx="133">
                  <c:v>17.625</c:v>
                </c:pt>
                <c:pt idx="134">
                  <c:v>17.75</c:v>
                </c:pt>
                <c:pt idx="135">
                  <c:v>17.875</c:v>
                </c:pt>
                <c:pt idx="136">
                  <c:v>18</c:v>
                </c:pt>
                <c:pt idx="137">
                  <c:v>18.125</c:v>
                </c:pt>
                <c:pt idx="138">
                  <c:v>18.25</c:v>
                </c:pt>
                <c:pt idx="139">
                  <c:v>18.375</c:v>
                </c:pt>
                <c:pt idx="140">
                  <c:v>18.5</c:v>
                </c:pt>
                <c:pt idx="141">
                  <c:v>18.625</c:v>
                </c:pt>
                <c:pt idx="142">
                  <c:v>18.75</c:v>
                </c:pt>
                <c:pt idx="143">
                  <c:v>18.875</c:v>
                </c:pt>
                <c:pt idx="144">
                  <c:v>19</c:v>
                </c:pt>
                <c:pt idx="145">
                  <c:v>19.125</c:v>
                </c:pt>
                <c:pt idx="146">
                  <c:v>19.25</c:v>
                </c:pt>
                <c:pt idx="147">
                  <c:v>19.375</c:v>
                </c:pt>
                <c:pt idx="148">
                  <c:v>19.5</c:v>
                </c:pt>
                <c:pt idx="149">
                  <c:v>19.625</c:v>
                </c:pt>
                <c:pt idx="150">
                  <c:v>19.75</c:v>
                </c:pt>
                <c:pt idx="151">
                  <c:v>19.875</c:v>
                </c:pt>
                <c:pt idx="152">
                  <c:v>20</c:v>
                </c:pt>
                <c:pt idx="153">
                  <c:v>20.125</c:v>
                </c:pt>
                <c:pt idx="154">
                  <c:v>20.25</c:v>
                </c:pt>
                <c:pt idx="155">
                  <c:v>20.375</c:v>
                </c:pt>
                <c:pt idx="156">
                  <c:v>20.5</c:v>
                </c:pt>
                <c:pt idx="157">
                  <c:v>20.625</c:v>
                </c:pt>
                <c:pt idx="158">
                  <c:v>20.75</c:v>
                </c:pt>
                <c:pt idx="159">
                  <c:v>20.875</c:v>
                </c:pt>
                <c:pt idx="160">
                  <c:v>21</c:v>
                </c:pt>
                <c:pt idx="161">
                  <c:v>21.125</c:v>
                </c:pt>
                <c:pt idx="162">
                  <c:v>21.25</c:v>
                </c:pt>
                <c:pt idx="163">
                  <c:v>21.375</c:v>
                </c:pt>
                <c:pt idx="164">
                  <c:v>21.5</c:v>
                </c:pt>
                <c:pt idx="165">
                  <c:v>21.625</c:v>
                </c:pt>
                <c:pt idx="166">
                  <c:v>21.75</c:v>
                </c:pt>
                <c:pt idx="167">
                  <c:v>21.875</c:v>
                </c:pt>
                <c:pt idx="168">
                  <c:v>22</c:v>
                </c:pt>
                <c:pt idx="169">
                  <c:v>22.125</c:v>
                </c:pt>
                <c:pt idx="170">
                  <c:v>22.25</c:v>
                </c:pt>
                <c:pt idx="171">
                  <c:v>22.375</c:v>
                </c:pt>
                <c:pt idx="172">
                  <c:v>22.5</c:v>
                </c:pt>
                <c:pt idx="173">
                  <c:v>22.625</c:v>
                </c:pt>
                <c:pt idx="174">
                  <c:v>22.75</c:v>
                </c:pt>
                <c:pt idx="175">
                  <c:v>22.875</c:v>
                </c:pt>
                <c:pt idx="176">
                  <c:v>23</c:v>
                </c:pt>
                <c:pt idx="177">
                  <c:v>23.125</c:v>
                </c:pt>
                <c:pt idx="178">
                  <c:v>23.25</c:v>
                </c:pt>
                <c:pt idx="179">
                  <c:v>23.375</c:v>
                </c:pt>
                <c:pt idx="180">
                  <c:v>23.5</c:v>
                </c:pt>
                <c:pt idx="181">
                  <c:v>23.625</c:v>
                </c:pt>
                <c:pt idx="182">
                  <c:v>23.75</c:v>
                </c:pt>
                <c:pt idx="183">
                  <c:v>23.875</c:v>
                </c:pt>
                <c:pt idx="184">
                  <c:v>24</c:v>
                </c:pt>
                <c:pt idx="185">
                  <c:v>24.125</c:v>
                </c:pt>
                <c:pt idx="186">
                  <c:v>24.25</c:v>
                </c:pt>
                <c:pt idx="187">
                  <c:v>24.375</c:v>
                </c:pt>
                <c:pt idx="188">
                  <c:v>24.5</c:v>
                </c:pt>
                <c:pt idx="189">
                  <c:v>24.625</c:v>
                </c:pt>
                <c:pt idx="190">
                  <c:v>24.75</c:v>
                </c:pt>
                <c:pt idx="191">
                  <c:v>24.875</c:v>
                </c:pt>
                <c:pt idx="192">
                  <c:v>25</c:v>
                </c:pt>
                <c:pt idx="193">
                  <c:v>25.125</c:v>
                </c:pt>
                <c:pt idx="194">
                  <c:v>25.25</c:v>
                </c:pt>
                <c:pt idx="195">
                  <c:v>25.375</c:v>
                </c:pt>
                <c:pt idx="196">
                  <c:v>25.5</c:v>
                </c:pt>
                <c:pt idx="197">
                  <c:v>25.625</c:v>
                </c:pt>
                <c:pt idx="198">
                  <c:v>25.75</c:v>
                </c:pt>
                <c:pt idx="199">
                  <c:v>25.875</c:v>
                </c:pt>
                <c:pt idx="200">
                  <c:v>26</c:v>
                </c:pt>
                <c:pt idx="201">
                  <c:v>26.125</c:v>
                </c:pt>
                <c:pt idx="202">
                  <c:v>26.25</c:v>
                </c:pt>
                <c:pt idx="203">
                  <c:v>26.375</c:v>
                </c:pt>
                <c:pt idx="204">
                  <c:v>26.5</c:v>
                </c:pt>
                <c:pt idx="205">
                  <c:v>26.625</c:v>
                </c:pt>
                <c:pt idx="206">
                  <c:v>26.75</c:v>
                </c:pt>
                <c:pt idx="207">
                  <c:v>26.875</c:v>
                </c:pt>
                <c:pt idx="208">
                  <c:v>27</c:v>
                </c:pt>
                <c:pt idx="209">
                  <c:v>27.125</c:v>
                </c:pt>
                <c:pt idx="210">
                  <c:v>27.25</c:v>
                </c:pt>
                <c:pt idx="211">
                  <c:v>27.375</c:v>
                </c:pt>
                <c:pt idx="212">
                  <c:v>27.5</c:v>
                </c:pt>
                <c:pt idx="213">
                  <c:v>27.625</c:v>
                </c:pt>
                <c:pt idx="214">
                  <c:v>27.75</c:v>
                </c:pt>
                <c:pt idx="215">
                  <c:v>27.875</c:v>
                </c:pt>
                <c:pt idx="216">
                  <c:v>28</c:v>
                </c:pt>
                <c:pt idx="217">
                  <c:v>28.125</c:v>
                </c:pt>
                <c:pt idx="218">
                  <c:v>28.25</c:v>
                </c:pt>
                <c:pt idx="219">
                  <c:v>28.375</c:v>
                </c:pt>
                <c:pt idx="220">
                  <c:v>28.5</c:v>
                </c:pt>
                <c:pt idx="221">
                  <c:v>28.625</c:v>
                </c:pt>
                <c:pt idx="222">
                  <c:v>28.75</c:v>
                </c:pt>
                <c:pt idx="223">
                  <c:v>28.875</c:v>
                </c:pt>
                <c:pt idx="224">
                  <c:v>29</c:v>
                </c:pt>
                <c:pt idx="225">
                  <c:v>29.125</c:v>
                </c:pt>
                <c:pt idx="226">
                  <c:v>29.25</c:v>
                </c:pt>
                <c:pt idx="227">
                  <c:v>29.375</c:v>
                </c:pt>
                <c:pt idx="228">
                  <c:v>29.5</c:v>
                </c:pt>
                <c:pt idx="229">
                  <c:v>29.625</c:v>
                </c:pt>
                <c:pt idx="230">
                  <c:v>29.75</c:v>
                </c:pt>
                <c:pt idx="231">
                  <c:v>29.875</c:v>
                </c:pt>
                <c:pt idx="232">
                  <c:v>30</c:v>
                </c:pt>
                <c:pt idx="233">
                  <c:v>30.125</c:v>
                </c:pt>
                <c:pt idx="234">
                  <c:v>30.25</c:v>
                </c:pt>
                <c:pt idx="235">
                  <c:v>30.375</c:v>
                </c:pt>
                <c:pt idx="236">
                  <c:v>30.5</c:v>
                </c:pt>
                <c:pt idx="237">
                  <c:v>30.625</c:v>
                </c:pt>
                <c:pt idx="238">
                  <c:v>30.75</c:v>
                </c:pt>
                <c:pt idx="239">
                  <c:v>30.875</c:v>
                </c:pt>
                <c:pt idx="240">
                  <c:v>31</c:v>
                </c:pt>
                <c:pt idx="241">
                  <c:v>31.125</c:v>
                </c:pt>
                <c:pt idx="242">
                  <c:v>31.25</c:v>
                </c:pt>
                <c:pt idx="243">
                  <c:v>31.375</c:v>
                </c:pt>
                <c:pt idx="244">
                  <c:v>31.5</c:v>
                </c:pt>
                <c:pt idx="245">
                  <c:v>31.625</c:v>
                </c:pt>
                <c:pt idx="246">
                  <c:v>31.75</c:v>
                </c:pt>
                <c:pt idx="247">
                  <c:v>31.875</c:v>
                </c:pt>
                <c:pt idx="248">
                  <c:v>32</c:v>
                </c:pt>
              </c:numCache>
            </c:numRef>
          </c:xVal>
          <c:yVal>
            <c:numRef>
              <c:f>topo!$AX$2:$AX$250</c:f>
              <c:numCache>
                <c:formatCode>General</c:formatCode>
                <c:ptCount val="249"/>
                <c:pt idx="0">
                  <c:v>372864.071469498</c:v>
                </c:pt>
                <c:pt idx="1">
                  <c:v>372642.432188279</c:v>
                </c:pt>
                <c:pt idx="2">
                  <c:v>372427.557886266</c:v>
                </c:pt>
                <c:pt idx="3">
                  <c:v>372219.436425417</c:v>
                </c:pt>
                <c:pt idx="4">
                  <c:v>372018.061549294</c:v>
                </c:pt>
                <c:pt idx="5">
                  <c:v>371823.433514255</c:v>
                </c:pt>
                <c:pt idx="6">
                  <c:v>371635.559675497</c:v>
                </c:pt>
                <c:pt idx="7">
                  <c:v>371454.455025499</c:v>
                </c:pt>
                <c:pt idx="8">
                  <c:v>371280.142682478</c:v>
                </c:pt>
                <c:pt idx="9">
                  <c:v>371112.654326797</c:v>
                </c:pt>
                <c:pt idx="10">
                  <c:v>370952.03058333</c:v>
                </c:pt>
                <c:pt idx="11">
                  <c:v>370798.32134811</c:v>
                </c:pt>
                <c:pt idx="12">
                  <c:v>370651.586057723</c:v>
                </c:pt>
                <c:pt idx="13">
                  <c:v>370511.893900111</c:v>
                </c:pt>
                <c:pt idx="14">
                  <c:v>370379.323965625</c:v>
                </c:pt>
                <c:pt idx="15">
                  <c:v>370253.965337428</c:v>
                </c:pt>
                <c:pt idx="16">
                  <c:v>370135.917120449</c:v>
                </c:pt>
                <c:pt idx="17">
                  <c:v>370025.288408355</c:v>
                </c:pt>
                <c:pt idx="18">
                  <c:v>369922.198188168</c:v>
                </c:pt>
                <c:pt idx="19">
                  <c:v>369826.775182335</c:v>
                </c:pt>
                <c:pt idx="20">
                  <c:v>369739.157628291</c:v>
                </c:pt>
                <c:pt idx="21">
                  <c:v>369659.492995723</c:v>
                </c:pt>
                <c:pt idx="22">
                  <c:v>369587.937641946</c:v>
                </c:pt>
                <c:pt idx="23">
                  <c:v>369524.656406031</c:v>
                </c:pt>
                <c:pt idx="24">
                  <c:v>369469.822142505</c:v>
                </c:pt>
                <c:pt idx="25">
                  <c:v>369423.615195669</c:v>
                </c:pt>
                <c:pt idx="26">
                  <c:v>369386.222815821</c:v>
                </c:pt>
                <c:pt idx="27">
                  <c:v>369357.838518881</c:v>
                </c:pt>
                <c:pt idx="28">
                  <c:v>369338.661391087</c:v>
                </c:pt>
                <c:pt idx="29">
                  <c:v>369328.895340849</c:v>
                </c:pt>
                <c:pt idx="30">
                  <c:v>369328.74829984</c:v>
                </c:pt>
                <c:pt idx="31">
                  <c:v>369338.431375864</c:v>
                </c:pt>
                <c:pt idx="32">
                  <c:v>369358.157960181</c:v>
                </c:pt>
                <c:pt idx="33">
                  <c:v>369388.142792236</c:v>
                </c:pt>
                <c:pt idx="34">
                  <c:v>369428.600985032</c:v>
                </c:pt>
                <c:pt idx="35">
                  <c:v>369479.747014549</c:v>
                </c:pt>
                <c:pt idx="36">
                  <c:v>369541.793676974</c:v>
                </c:pt>
                <c:pt idx="37">
                  <c:v>369614.951017668</c:v>
                </c:pt>
                <c:pt idx="38">
                  <c:v>369699.425235987</c:v>
                </c:pt>
                <c:pt idx="39">
                  <c:v>369795.417570454</c:v>
                </c:pt>
                <c:pt idx="40">
                  <c:v>369903.123168786</c:v>
                </c:pt>
                <c:pt idx="41">
                  <c:v>370022.729947613</c:v>
                </c:pt>
                <c:pt idx="42">
                  <c:v>370154.417446865</c:v>
                </c:pt>
                <c:pt idx="43">
                  <c:v>370298.355683846</c:v>
                </c:pt>
                <c:pt idx="44">
                  <c:v>370454.704012354</c:v>
                </c:pt>
                <c:pt idx="45">
                  <c:v>370623.609992015</c:v>
                </c:pt>
                <c:pt idx="46">
                  <c:v>370805.208273369</c:v>
                </c:pt>
                <c:pt idx="47">
                  <c:v>370999.619504016</c:v>
                </c:pt>
                <c:pt idx="48">
                  <c:v>371206.949261284</c:v>
                </c:pt>
                <c:pt idx="49">
                  <c:v>371427.287016791</c:v>
                </c:pt>
                <c:pt idx="50">
                  <c:v>371660.70513825</c:v>
                </c:pt>
                <c:pt idx="51">
                  <c:v>371907.25793361</c:v>
                </c:pt>
                <c:pt idx="52">
                  <c:v>372166.980742702</c:v>
                </c:pt>
                <c:pt idx="53">
                  <c:v>372439.889081157</c:v>
                </c:pt>
                <c:pt idx="54">
                  <c:v>372725.977841269</c:v>
                </c:pt>
                <c:pt idx="55">
                  <c:v>373025.220554211</c:v>
                </c:pt>
                <c:pt idx="56">
                  <c:v>373337.568717547</c:v>
                </c:pt>
                <c:pt idx="57">
                  <c:v>373662.951191992</c:v>
                </c:pt>
                <c:pt idx="58">
                  <c:v>374001.273670566</c:v>
                </c:pt>
                <c:pt idx="59">
                  <c:v>374352.418223352</c:v>
                </c:pt>
                <c:pt idx="60">
                  <c:v>374716.242920272</c:v>
                </c:pt>
                <c:pt idx="61">
                  <c:v>375092.581534107</c:v>
                </c:pt>
                <c:pt idx="62">
                  <c:v>375481.243325391</c:v>
                </c:pt>
                <c:pt idx="63">
                  <c:v>375882.012910471</c:v>
                </c:pt>
                <c:pt idx="64">
                  <c:v>376294.650213313</c:v>
                </c:pt>
                <c:pt idx="65">
                  <c:v>376718.890501501</c:v>
                </c:pt>
                <c:pt idx="66">
                  <c:v>377154.444505998</c:v>
                </c:pt>
                <c:pt idx="67">
                  <c:v>377600.998624049</c:v>
                </c:pt>
                <c:pt idx="68">
                  <c:v>378058.215204017</c:v>
                </c:pt>
                <c:pt idx="69">
                  <c:v>378525.7329105</c:v>
                </c:pt>
                <c:pt idx="70">
                  <c:v>379003.167167558</c:v>
                </c:pt>
                <c:pt idx="71">
                  <c:v>379490.110677586</c:v>
                </c:pt>
                <c:pt idx="72">
                  <c:v>379986.134012924</c:v>
                </c:pt>
                <c:pt idx="73">
                  <c:v>380490.786276905</c:v>
                </c:pt>
                <c:pt idx="74">
                  <c:v>381003.595830647</c:v>
                </c:pt>
                <c:pt idx="75">
                  <c:v>381524.071081764</c:v>
                </c:pt>
                <c:pt idx="76">
                  <c:v>382051.701330775</c:v>
                </c:pt>
                <c:pt idx="77">
                  <c:v>382585.957670838</c:v>
                </c:pt>
                <c:pt idx="78">
                  <c:v>383126.293936152</c:v>
                </c:pt>
                <c:pt idx="79">
                  <c:v>383672.147694395</c:v>
                </c:pt>
                <c:pt idx="80">
                  <c:v>384222.941278339</c:v>
                </c:pt>
                <c:pt idx="81">
                  <c:v>384778.082851821</c:v>
                </c:pt>
                <c:pt idx="82">
                  <c:v>385336.96750519</c:v>
                </c:pt>
                <c:pt idx="83">
                  <c:v>385898.978375359</c:v>
                </c:pt>
                <c:pt idx="84">
                  <c:v>386463.487785728</c:v>
                </c:pt>
                <c:pt idx="85">
                  <c:v>387029.858401368</c:v>
                </c:pt>
                <c:pt idx="86">
                  <c:v>387597.444394932</c:v>
                </c:pt>
                <c:pt idx="87">
                  <c:v>388165.592618915</c:v>
                </c:pt>
                <c:pt idx="88">
                  <c:v>388733.643780211</c:v>
                </c:pt>
                <c:pt idx="89">
                  <c:v>389300.933613074</c:v>
                </c:pt>
                <c:pt idx="90">
                  <c:v>389866.79404684</c:v>
                </c:pt>
                <c:pt idx="91">
                  <c:v>390430.554364995</c:v>
                </c:pt>
                <c:pt idx="92">
                  <c:v>390991.542352595</c:v>
                </c:pt>
                <c:pt idx="93">
                  <c:v>391549.085429172</c:v>
                </c:pt>
                <c:pt idx="94">
                  <c:v>392102.511764699</c:v>
                </c:pt>
                <c:pt idx="95">
                  <c:v>392651.151376423</c:v>
                </c:pt>
                <c:pt idx="96">
                  <c:v>393194.337204595</c:v>
                </c:pt>
                <c:pt idx="97">
                  <c:v>393731.406165575</c:v>
                </c:pt>
                <c:pt idx="98">
                  <c:v>394261.700180984</c:v>
                </c:pt>
                <c:pt idx="99">
                  <c:v>394784.567181828</c:v>
                </c:pt>
                <c:pt idx="100">
                  <c:v>395299.362086775</c:v>
                </c:pt>
                <c:pt idx="101">
                  <c:v>395805.447754022</c:v>
                </c:pt>
                <c:pt idx="102">
                  <c:v>396302.19590643</c:v>
                </c:pt>
                <c:pt idx="103">
                  <c:v>396788.988029718</c:v>
                </c:pt>
                <c:pt idx="104">
                  <c:v>397265.216243692</c:v>
                </c:pt>
                <c:pt idx="105">
                  <c:v>397730.284146653</c:v>
                </c:pt>
                <c:pt idx="106">
                  <c:v>398183.607633295</c:v>
                </c:pt>
                <c:pt idx="107">
                  <c:v>398624.615686289</c:v>
                </c:pt>
                <c:pt idx="108">
                  <c:v>399052.751142123</c:v>
                </c:pt>
                <c:pt idx="109">
                  <c:v>399467.47143149</c:v>
                </c:pt>
                <c:pt idx="110">
                  <c:v>399868.249294761</c:v>
                </c:pt>
                <c:pt idx="111">
                  <c:v>400254.573473016</c:v>
                </c:pt>
                <c:pt idx="112">
                  <c:v>400625.949375023</c:v>
                </c:pt>
                <c:pt idx="113">
                  <c:v>400981.899720575</c:v>
                </c:pt>
                <c:pt idx="114">
                  <c:v>401321.965160531</c:v>
                </c:pt>
                <c:pt idx="115">
                  <c:v>401645.704873858</c:v>
                </c:pt>
                <c:pt idx="116">
                  <c:v>401952.697141852</c:v>
                </c:pt>
                <c:pt idx="117">
                  <c:v>402242.539899646</c:v>
                </c:pt>
                <c:pt idx="118">
                  <c:v>402514.851265045</c:v>
                </c:pt>
                <c:pt idx="119">
                  <c:v>402769.270044658</c:v>
                </c:pt>
                <c:pt idx="120">
                  <c:v>403005.4562171</c:v>
                </c:pt>
                <c:pt idx="121">
                  <c:v>403223.091393111</c:v>
                </c:pt>
                <c:pt idx="122">
                  <c:v>403421.879252185</c:v>
                </c:pt>
                <c:pt idx="123">
                  <c:v>403601.545955396</c:v>
                </c:pt>
                <c:pt idx="124">
                  <c:v>403761.840533873</c:v>
                </c:pt>
                <c:pt idx="125">
                  <c:v>403902.535252471</c:v>
                </c:pt>
                <c:pt idx="126">
                  <c:v>404023.425948006</c:v>
                </c:pt>
                <c:pt idx="127">
                  <c:v>404124.332341513</c:v>
                </c:pt>
                <c:pt idx="128">
                  <c:v>404205.098323829</c:v>
                </c:pt>
                <c:pt idx="129">
                  <c:v>404265.592213922</c:v>
                </c:pt>
                <c:pt idx="130">
                  <c:v>404305.70698929</c:v>
                </c:pt>
                <c:pt idx="131">
                  <c:v>404325.360487825</c:v>
                </c:pt>
                <c:pt idx="132">
                  <c:v>404324.495580523</c:v>
                </c:pt>
                <c:pt idx="133">
                  <c:v>404303.080314497</c:v>
                </c:pt>
                <c:pt idx="134">
                  <c:v>404261.10802575</c:v>
                </c:pt>
                <c:pt idx="135">
                  <c:v>404198.597421231</c:v>
                </c:pt>
                <c:pt idx="136">
                  <c:v>404115.59262978</c:v>
                </c:pt>
                <c:pt idx="137">
                  <c:v>404012.163221575</c:v>
                </c:pt>
                <c:pt idx="138">
                  <c:v>403888.404195793</c:v>
                </c:pt>
                <c:pt idx="139">
                  <c:v>403744.435936271</c:v>
                </c:pt>
                <c:pt idx="140">
                  <c:v>403580.404134951</c:v>
                </c:pt>
                <c:pt idx="141">
                  <c:v>403396.479683046</c:v>
                </c:pt>
                <c:pt idx="142">
                  <c:v>403192.85852982</c:v>
                </c:pt>
                <c:pt idx="143">
                  <c:v>402969.761509006</c:v>
                </c:pt>
                <c:pt idx="144">
                  <c:v>402727.434132863</c:v>
                </c:pt>
                <c:pt idx="145">
                  <c:v>402466.146353953</c:v>
                </c:pt>
                <c:pt idx="146">
                  <c:v>402186.19229472</c:v>
                </c:pt>
                <c:pt idx="147">
                  <c:v>401887.889944962</c:v>
                </c:pt>
                <c:pt idx="148">
                  <c:v>401571.580827297</c:v>
                </c:pt>
                <c:pt idx="149">
                  <c:v>401237.629630745</c:v>
                </c:pt>
                <c:pt idx="150">
                  <c:v>400886.423812514</c:v>
                </c:pt>
                <c:pt idx="151">
                  <c:v>400518.373168007</c:v>
                </c:pt>
                <c:pt idx="152">
                  <c:v>400133.909369137</c:v>
                </c:pt>
                <c:pt idx="153">
                  <c:v>399733.485470927</c:v>
                </c:pt>
                <c:pt idx="154">
                  <c:v>399317.575386374</c:v>
                </c:pt>
                <c:pt idx="155">
                  <c:v>398886.673329458</c:v>
                </c:pt>
                <c:pt idx="156">
                  <c:v>398441.293226174</c:v>
                </c:pt>
                <c:pt idx="157">
                  <c:v>397981.968093477</c:v>
                </c:pt>
                <c:pt idx="158">
                  <c:v>397509.249385844</c:v>
                </c:pt>
                <c:pt idx="159">
                  <c:v>397023.706309296</c:v>
                </c:pt>
                <c:pt idx="160">
                  <c:v>396525.925102546</c:v>
                </c:pt>
                <c:pt idx="161">
                  <c:v>396016.508285033</c:v>
                </c:pt>
                <c:pt idx="162">
                  <c:v>395496.073871579</c:v>
                </c:pt>
                <c:pt idx="163">
                  <c:v>394965.254553405</c:v>
                </c:pt>
                <c:pt idx="164">
                  <c:v>394424.696845244</c:v>
                </c:pt>
                <c:pt idx="165">
                  <c:v>393875.060198398</c:v>
                </c:pt>
                <c:pt idx="166">
                  <c:v>393317.016079683</c:v>
                </c:pt>
                <c:pt idx="167">
                  <c:v>392751.247016213</c:v>
                </c:pt>
                <c:pt idx="168">
                  <c:v>392178.445606138</c:v>
                </c:pt>
                <c:pt idx="169">
                  <c:v>391599.313495585</c:v>
                </c:pt>
                <c:pt idx="170">
                  <c:v>391014.560322298</c:v>
                </c:pt>
                <c:pt idx="171">
                  <c:v>390424.902626486</c:v>
                </c:pt>
                <c:pt idx="172">
                  <c:v>389831.062729799</c:v>
                </c:pt>
                <c:pt idx="173">
                  <c:v>389233.7675834</c:v>
                </c:pt>
                <c:pt idx="174">
                  <c:v>388633.74758648</c:v>
                </c:pt>
                <c:pt idx="175">
                  <c:v>388031.73537683</c:v>
                </c:pt>
                <c:pt idx="176">
                  <c:v>387428.464595296</c:v>
                </c:pt>
                <c:pt idx="177">
                  <c:v>386824.668626249</c:v>
                </c:pt>
                <c:pt idx="178">
                  <c:v>386221.079316566</c:v>
                </c:pt>
                <c:pt idx="179">
                  <c:v>385618.425675932</c:v>
                </c:pt>
                <c:pt idx="180">
                  <c:v>385017.432561522</c:v>
                </c:pt>
                <c:pt idx="181">
                  <c:v>384418.819350431</c:v>
                </c:pt>
                <c:pt idx="182">
                  <c:v>383823.298603614</c:v>
                </c:pt>
                <c:pt idx="183">
                  <c:v>383231.574725324</c:v>
                </c:pt>
                <c:pt idx="184">
                  <c:v>382644.342622367</c:v>
                </c:pt>
                <c:pt idx="185">
                  <c:v>382062.286367583</c:v>
                </c:pt>
                <c:pt idx="186">
                  <c:v>381486.07787256</c:v>
                </c:pt>
                <c:pt idx="187">
                  <c:v>380916.375574323</c:v>
                </c:pt>
                <c:pt idx="188">
                  <c:v>380353.823141406</c:v>
                </c:pt>
                <c:pt idx="189">
                  <c:v>379799.048204416</c:v>
                </c:pt>
                <c:pt idx="190">
                  <c:v>379252.661116713</c:v>
                </c:pt>
                <c:pt idx="191">
                  <c:v>378715.253750488</c:v>
                </c:pt>
                <c:pt idx="192">
                  <c:v>378187.398333996</c:v>
                </c:pt>
                <c:pt idx="193">
                  <c:v>377669.646335178</c:v>
                </c:pt>
                <c:pt idx="194">
                  <c:v>377162.527397381</c:v>
                </c:pt>
                <c:pt idx="195">
                  <c:v>376666.548332226</c:v>
                </c:pt>
                <c:pt idx="196">
                  <c:v>376182.192175014</c:v>
                </c:pt>
                <c:pt idx="197">
                  <c:v>375709.917307457</c:v>
                </c:pt>
                <c:pt idx="198">
                  <c:v>375250.156652518</c:v>
                </c:pt>
                <c:pt idx="199">
                  <c:v>374803.316945788</c:v>
                </c:pt>
                <c:pt idx="200">
                  <c:v>374369.778087335</c:v>
                </c:pt>
                <c:pt idx="201">
                  <c:v>373949.89257788</c:v>
                </c:pt>
                <c:pt idx="202">
                  <c:v>373543.985042435</c:v>
                </c:pt>
                <c:pt idx="203">
                  <c:v>373152.351844319</c:v>
                </c:pt>
                <c:pt idx="204">
                  <c:v>372775.260791785</c:v>
                </c:pt>
                <c:pt idx="205">
                  <c:v>372412.950939254</c:v>
                </c:pt>
                <c:pt idx="206">
                  <c:v>372065.632484266</c:v>
                </c:pt>
                <c:pt idx="207">
                  <c:v>371733.486761145</c:v>
                </c:pt>
                <c:pt idx="208">
                  <c:v>371416.666331384</c:v>
                </c:pt>
                <c:pt idx="209">
                  <c:v>371115.295170574</c:v>
                </c:pt>
                <c:pt idx="210">
                  <c:v>370829.468950921</c:v>
                </c:pt>
                <c:pt idx="211">
                  <c:v>370559.255417871</c:v>
                </c:pt>
                <c:pt idx="212">
                  <c:v>370304.694858967</c:v>
                </c:pt>
                <c:pt idx="213">
                  <c:v>370065.800662291</c:v>
                </c:pt>
                <c:pt idx="214">
                  <c:v>369842.55996153</c:v>
                </c:pt>
                <c:pt idx="215">
                  <c:v>369634.934364217</c:v>
                </c:pt>
                <c:pt idx="216">
                  <c:v>369442.860759073</c:v>
                </c:pt>
                <c:pt idx="217">
                  <c:v>369266.25219814</c:v>
                </c:pt>
                <c:pt idx="218">
                  <c:v>369104.99884889</c:v>
                </c:pt>
                <c:pt idx="219">
                  <c:v>368958.969011235</c:v>
                </c:pt>
                <c:pt idx="220">
                  <c:v>368828.01019397</c:v>
                </c:pt>
                <c:pt idx="221">
                  <c:v>368711.950244944</c:v>
                </c:pt>
                <c:pt idx="222">
                  <c:v>368610.598529032</c:v>
                </c:pt>
                <c:pt idx="223">
                  <c:v>368523.747147886</c:v>
                </c:pt>
                <c:pt idx="224">
                  <c:v>368451.172195108</c:v>
                </c:pt>
                <c:pt idx="225">
                  <c:v>368392.635040652</c:v>
                </c:pt>
                <c:pt idx="226">
                  <c:v>368347.883638004</c:v>
                </c:pt>
                <c:pt idx="227">
                  <c:v>368316.653847814</c:v>
                </c:pt>
                <c:pt idx="228">
                  <c:v>368298.670771709</c:v>
                </c:pt>
                <c:pt idx="229">
                  <c:v>368293.650089974</c:v>
                </c:pt>
                <c:pt idx="230">
                  <c:v>368301.299397058</c:v>
                </c:pt>
                <c:pt idx="231">
                  <c:v>368321.319528906</c:v>
                </c:pt>
                <c:pt idx="232">
                  <c:v>368353.405876389</c:v>
                </c:pt>
                <c:pt idx="233">
                  <c:v>368397.249679284</c:v>
                </c:pt>
                <c:pt idx="234">
                  <c:v>368452.539295416</c:v>
                </c:pt>
                <c:pt idx="235">
                  <c:v>368518.961440057</c:v>
                </c:pt>
                <c:pt idx="236">
                  <c:v>368596.202390732</c:v>
                </c:pt>
                <c:pt idx="237">
                  <c:v>368683.949152972</c:v>
                </c:pt>
                <c:pt idx="238">
                  <c:v>368781.890582946</c:v>
                </c:pt>
                <c:pt idx="239">
                  <c:v>368889.718463069</c:v>
                </c:pt>
                <c:pt idx="240">
                  <c:v>369007.128527123</c:v>
                </c:pt>
                <c:pt idx="241">
                  <c:v>369133.821431748</c:v>
                </c:pt>
                <c:pt idx="242">
                  <c:v>369269.503671395</c:v>
                </c:pt>
                <c:pt idx="243">
                  <c:v>369413.888434323</c:v>
                </c:pt>
                <c:pt idx="244">
                  <c:v>369566.696397361</c:v>
                </c:pt>
                <c:pt idx="245">
                  <c:v>369727.656457618</c:v>
                </c:pt>
                <c:pt idx="246">
                  <c:v>369896.506399562</c:v>
                </c:pt>
                <c:pt idx="247">
                  <c:v>370072.993496181</c:v>
                </c:pt>
                <c:pt idx="248">
                  <c:v>370256.875043271</c:v>
                </c:pt>
              </c:numCache>
            </c:numRef>
          </c:yVal>
          <c:smooth val="0"/>
        </c:ser>
        <c:axId val="76465946"/>
        <c:axId val="43534511"/>
      </c:scatterChart>
      <c:valAx>
        <c:axId val="76465946"/>
        <c:scaling>
          <c:orientation val="minMax"/>
          <c:max val="32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534511"/>
        <c:crosses val="autoZero"/>
        <c:crossBetween val="between"/>
        <c:majorUnit val="1"/>
      </c:valAx>
      <c:valAx>
        <c:axId val="43534511"/>
        <c:scaling>
          <c:orientation val="minMax"/>
          <c:max val="410000"/>
          <c:min val="3500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6465946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52803817964888"/>
          <c:y val="0.077225247745737"/>
          <c:w val="0.842508948355207"/>
          <c:h val="0.803231854298723"/>
        </c:manualLayout>
      </c:layout>
      <c:scatterChart>
        <c:scatterStyle val="lineMarker"/>
        <c:varyColors val="0"/>
        <c:ser>
          <c:idx val="0"/>
          <c:order val="0"/>
          <c:spPr>
            <a:noFill/>
            <a:ln w="18000">
              <a:solidFill>
                <a:srgbClr val="ff00ff"/>
              </a:solidFill>
              <a:round/>
            </a:ln>
          </c:spPr>
          <c:marker>
            <c:symbol val="circle"/>
            <c:size val="4"/>
            <c:spPr>
              <a:solidFill>
                <a:srgbClr val="ff00ff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calc!$BA$2:$BA$32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calc!$AV$2:$AV$32</c:f>
              <c:numCache>
                <c:formatCode>General</c:formatCode>
                <c:ptCount val="31"/>
                <c:pt idx="0">
                  <c:v>31.8859859236292</c:v>
                </c:pt>
                <c:pt idx="1">
                  <c:v>32.1293362745784</c:v>
                </c:pt>
                <c:pt idx="2">
                  <c:v>32.3430566652093</c:v>
                </c:pt>
                <c:pt idx="3">
                  <c:v>32.5174901512391</c:v>
                </c:pt>
                <c:pt idx="4">
                  <c:v>32.6376401709251</c:v>
                </c:pt>
                <c:pt idx="5">
                  <c:v>32.6851032092342</c:v>
                </c:pt>
                <c:pt idx="6">
                  <c:v>32.6423686738014</c:v>
                </c:pt>
                <c:pt idx="7">
                  <c:v>32.4982534609132</c:v>
                </c:pt>
                <c:pt idx="8">
                  <c:v>32.2525850216811</c:v>
                </c:pt>
                <c:pt idx="9">
                  <c:v>31.9183523421782</c:v>
                </c:pt>
                <c:pt idx="10">
                  <c:v>31.5204587640703</c:v>
                </c:pt>
                <c:pt idx="11">
                  <c:v>31.0915289657549</c:v>
                </c:pt>
                <c:pt idx="12">
                  <c:v>30.6662872407858</c:v>
                </c:pt>
                <c:pt idx="13">
                  <c:v>30.2763483167082</c:v>
                </c:pt>
                <c:pt idx="14">
                  <c:v>29.9468069460887</c:v>
                </c:pt>
                <c:pt idx="15">
                  <c:v>29.6951112980133</c:v>
                </c:pt>
                <c:pt idx="16">
                  <c:v>29.5317941610733</c:v>
                </c:pt>
                <c:pt idx="17">
                  <c:v>29.4620530674234</c:v>
                </c:pt>
                <c:pt idx="18">
                  <c:v>29.487080425812</c:v>
                </c:pt>
                <c:pt idx="19">
                  <c:v>29.6044251787304</c:v>
                </c:pt>
                <c:pt idx="20">
                  <c:v>29.8073255715447</c:v>
                </c:pt>
                <c:pt idx="21">
                  <c:v>30.0835916942953</c:v>
                </c:pt>
                <c:pt idx="22">
                  <c:v>30.4149523977798</c:v>
                </c:pt>
                <c:pt idx="23">
                  <c:v>30.7776671775379</c:v>
                </c:pt>
                <c:pt idx="24">
                  <c:v>31.1447032969291</c:v>
                </c:pt>
                <c:pt idx="25">
                  <c:v>31.4891369409006</c:v>
                </c:pt>
                <c:pt idx="26">
                  <c:v>31.7879447007944</c:v>
                </c:pt>
                <c:pt idx="27">
                  <c:v>32.025177686453</c:v>
                </c:pt>
                <c:pt idx="28">
                  <c:v>32.1936451892885</c:v>
                </c:pt>
                <c:pt idx="29">
                  <c:v>32.2945885865161</c:v>
                </c:pt>
                <c:pt idx="30">
                  <c:v>32.3353471972739</c:v>
                </c:pt>
              </c:numCache>
            </c:numRef>
          </c:yVal>
          <c:smooth val="0"/>
        </c:ser>
        <c:axId val="19506310"/>
        <c:axId val="54133639"/>
      </c:scatterChart>
      <c:valAx>
        <c:axId val="19506310"/>
        <c:scaling>
          <c:orientation val="minMax"/>
          <c:max val="31"/>
          <c:min val="1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0" sz="1100" spc="-1" strike="noStrike">
                    <a:solidFill>
                      <a:srgbClr val="000000"/>
                    </a:solidFill>
                    <a:latin typeface="Calibri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833589000624964"/>
              <c:y val="0.807249352736363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4133639"/>
        <c:crosses val="autoZero"/>
        <c:crossBetween val="midCat"/>
        <c:majorUnit val="3"/>
      </c:valAx>
      <c:valAx>
        <c:axId val="54133639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0" sz="1100" spc="-1" strike="noStrike">
                    <a:solidFill>
                      <a:srgbClr val="000000"/>
                    </a:solidFill>
                    <a:latin typeface="Calibri"/>
                  </a:rPr>
                  <a:t>diameter/arcmin</a:t>
                </a:r>
              </a:p>
            </c:rich>
          </c:tx>
          <c:layout>
            <c:manualLayout>
              <c:xMode val="edge"/>
              <c:yMode val="edge"/>
              <c:x val="0.0744275893415147"/>
              <c:y val="-0.170877600214267"/>
            </c:manualLayout>
          </c:layout>
          <c:overlay val="0"/>
          <c:spPr>
            <a:noFill/>
            <a:ln w="0">
              <a:noFill/>
            </a:ln>
          </c:spPr>
        </c:title>
        <c:numFmt formatCode="#.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9506310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300" spc="-1" strike="noStrike">
                <a:solidFill>
                  <a:srgbClr val="000000"/>
                </a:solidFill>
                <a:latin typeface="Calibri"/>
              </a:rPr>
              <a:t>geocentric distance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9142629572737"/>
          <c:y val="0.105373893223459"/>
          <c:w val="0.864538886044262"/>
          <c:h val="0.788638555273078"/>
        </c:manualLayout>
      </c:layout>
      <c:scatterChart>
        <c:scatterStyle val="lineMarker"/>
        <c:varyColors val="0"/>
        <c:ser>
          <c:idx val="0"/>
          <c:order val="0"/>
          <c:spPr>
            <a:noFill/>
            <a:ln w="14400">
              <a:solidFill>
                <a:srgbClr val="ff00ff"/>
              </a:solidFill>
              <a:round/>
            </a:ln>
          </c:spPr>
          <c:marker>
            <c:symbol val="circle"/>
            <c:size val="4"/>
            <c:spPr>
              <a:solidFill>
                <a:srgbClr val="ff00ff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calc!$BA$2:$BA$32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calc!$AY$2:$AY$32</c:f>
              <c:numCache>
                <c:formatCode>General</c:formatCode>
                <c:ptCount val="31"/>
                <c:pt idx="0">
                  <c:v>372864.071469498</c:v>
                </c:pt>
                <c:pt idx="1">
                  <c:v>371280.156240906</c:v>
                </c:pt>
                <c:pt idx="2">
                  <c:v>370135.931121461</c:v>
                </c:pt>
                <c:pt idx="3">
                  <c:v>369469.835110635</c:v>
                </c:pt>
                <c:pt idx="4">
                  <c:v>369358.168557707</c:v>
                </c:pt>
                <c:pt idx="5">
                  <c:v>369903.130398636</c:v>
                </c:pt>
                <c:pt idx="6">
                  <c:v>371206.952623731</c:v>
                </c:pt>
                <c:pt idx="7">
                  <c:v>373337.568290348</c:v>
                </c:pt>
                <c:pt idx="8">
                  <c:v>376294.646632273</c:v>
                </c:pt>
                <c:pt idx="9">
                  <c:v>379986.128348195</c:v>
                </c:pt>
                <c:pt idx="10">
                  <c:v>384222.934828096</c:v>
                </c:pt>
                <c:pt idx="11">
                  <c:v>388733.6378279</c:v>
                </c:pt>
                <c:pt idx="12">
                  <c:v>393194.332797055</c:v>
                </c:pt>
                <c:pt idx="13">
                  <c:v>397265.214038636</c:v>
                </c:pt>
                <c:pt idx="14">
                  <c:v>400625.949580846</c:v>
                </c:pt>
                <c:pt idx="15">
                  <c:v>403005.458617671</c:v>
                </c:pt>
                <c:pt idx="16">
                  <c:v>404205.102359907</c:v>
                </c:pt>
                <c:pt idx="17">
                  <c:v>404115.59750547</c:v>
                </c:pt>
                <c:pt idx="18">
                  <c:v>402727.438927862</c:v>
                </c:pt>
                <c:pt idx="19">
                  <c:v>400133.913154532</c:v>
                </c:pt>
                <c:pt idx="20">
                  <c:v>396525.927066574</c:v>
                </c:pt>
                <c:pt idx="21">
                  <c:v>392178.44519009</c:v>
                </c:pt>
                <c:pt idx="22">
                  <c:v>387428.461622192</c:v>
                </c:pt>
                <c:pt idx="23">
                  <c:v>382644.337384136</c:v>
                </c:pt>
                <c:pt idx="24">
                  <c:v>378187.391599323</c:v>
                </c:pt>
                <c:pt idx="25">
                  <c:v>374369.771007691</c:v>
                </c:pt>
                <c:pt idx="26">
                  <c:v>371416.660252167</c:v>
                </c:pt>
                <c:pt idx="27">
                  <c:v>369442.856973468</c:v>
                </c:pt>
                <c:pt idx="28">
                  <c:v>368451.171696808</c:v>
                </c:pt>
                <c:pt idx="29">
                  <c:v>368353.409166924</c:v>
                </c:pt>
                <c:pt idx="30">
                  <c:v>369007.135516517</c:v>
                </c:pt>
              </c:numCache>
            </c:numRef>
          </c:yVal>
          <c:smooth val="0"/>
        </c:ser>
        <c:axId val="64074083"/>
        <c:axId val="82813724"/>
      </c:scatterChart>
      <c:valAx>
        <c:axId val="64074083"/>
        <c:scaling>
          <c:orientation val="minMax"/>
          <c:max val="31"/>
          <c:min val="1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0" sz="1100" spc="-1" strike="noStrike">
                    <a:solidFill>
                      <a:srgbClr val="000000"/>
                    </a:solidFill>
                    <a:latin typeface="Calibri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8868407578085"/>
              <c:y val="0.832208293153327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2813724"/>
        <c:crosses val="autoZero"/>
        <c:crossBetween val="midCat"/>
        <c:majorUnit val="3"/>
      </c:valAx>
      <c:valAx>
        <c:axId val="82813724"/>
        <c:scaling>
          <c:orientation val="minMax"/>
          <c:max val="407000"/>
          <c:min val="355000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0" sz="1100" spc="-1" strike="noStrike">
                    <a:solidFill>
                      <a:srgbClr val="000000"/>
                    </a:solidFill>
                    <a:latin typeface="Calibri"/>
                  </a:rPr>
                  <a:t>km</a:t>
                </a:r>
              </a:p>
            </c:rich>
          </c:tx>
          <c:layout>
            <c:manualLayout>
              <c:xMode val="edge"/>
              <c:yMode val="edge"/>
              <c:x val="0.1152642658019"/>
              <c:y val="0.15902515998948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4074083"/>
        <c:crosses val="autoZero"/>
        <c:crossBetween val="midCat"/>
        <c:majorUnit val="5000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300" spc="-1" strike="noStrike">
                <a:solidFill>
                  <a:srgbClr val="000000"/>
                </a:solidFill>
                <a:latin typeface="Calibri"/>
              </a:rPr>
              <a:t>latitude of the Moon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34618755477651"/>
          <c:y val="0.108755190387843"/>
          <c:w val="0.915612870915237"/>
          <c:h val="0.813676119798569"/>
        </c:manualLayout>
      </c:layout>
      <c:scatterChart>
        <c:scatterStyle val="lineMarker"/>
        <c:varyColors val="0"/>
        <c:ser>
          <c:idx val="0"/>
          <c:order val="0"/>
          <c:spPr>
            <a:noFill/>
            <a:ln w="18000">
              <a:solidFill>
                <a:srgbClr val="ff0000"/>
              </a:solidFill>
              <a:round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calc!$BA$2:$BA$32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calc!$Z$2:$Z$32</c:f>
              <c:numCache>
                <c:formatCode>General</c:formatCode>
                <c:ptCount val="31"/>
                <c:pt idx="0">
                  <c:v>-2.4308103329961</c:v>
                </c:pt>
                <c:pt idx="1">
                  <c:v>-3.47241943770793</c:v>
                </c:pt>
                <c:pt idx="2">
                  <c:v>-4.31189163161484</c:v>
                </c:pt>
                <c:pt idx="3">
                  <c:v>-4.89345979091708</c:v>
                </c:pt>
                <c:pt idx="4">
                  <c:v>-5.17731046224389</c:v>
                </c:pt>
                <c:pt idx="5">
                  <c:v>-5.14340962238135</c:v>
                </c:pt>
                <c:pt idx="6">
                  <c:v>-4.79457675224573</c:v>
                </c:pt>
                <c:pt idx="7">
                  <c:v>-4.15761074534745</c:v>
                </c:pt>
                <c:pt idx="8">
                  <c:v>-3.2811565888454</c:v>
                </c:pt>
                <c:pt idx="9">
                  <c:v>-2.22990818457164</c:v>
                </c:pt>
                <c:pt idx="10">
                  <c:v>-1.0762440743104</c:v>
                </c:pt>
                <c:pt idx="11">
                  <c:v>0.108459902262384</c:v>
                </c:pt>
                <c:pt idx="12">
                  <c:v>1.26054652737502</c:v>
                </c:pt>
                <c:pt idx="13">
                  <c:v>2.32754385636861</c:v>
                </c:pt>
                <c:pt idx="14">
                  <c:v>3.26848842353458</c:v>
                </c:pt>
                <c:pt idx="15">
                  <c:v>4.05219005303252</c:v>
                </c:pt>
                <c:pt idx="16">
                  <c:v>4.65476392803579</c:v>
                </c:pt>
                <c:pt idx="17">
                  <c:v>5.05742708445702</c:v>
                </c:pt>
                <c:pt idx="18">
                  <c:v>5.24506577133416</c:v>
                </c:pt>
                <c:pt idx="19">
                  <c:v>5.20576197949573</c:v>
                </c:pt>
                <c:pt idx="20">
                  <c:v>4.93141294976467</c:v>
                </c:pt>
                <c:pt idx="21">
                  <c:v>4.41963138857495</c:v>
                </c:pt>
                <c:pt idx="22">
                  <c:v>3.67700282776604</c:v>
                </c:pt>
                <c:pt idx="23">
                  <c:v>2.72330466048128</c:v>
                </c:pt>
                <c:pt idx="24">
                  <c:v>1.59552762392545</c:v>
                </c:pt>
                <c:pt idx="25">
                  <c:v>0.349888750256671</c:v>
                </c:pt>
                <c:pt idx="26">
                  <c:v>-0.939936300098635</c:v>
                </c:pt>
                <c:pt idx="27">
                  <c:v>-2.18906381211348</c:v>
                </c:pt>
                <c:pt idx="28">
                  <c:v>-3.31106006015076</c:v>
                </c:pt>
                <c:pt idx="29">
                  <c:v>-4.22841863332811</c:v>
                </c:pt>
                <c:pt idx="30">
                  <c:v>-4.88099771490685</c:v>
                </c:pt>
              </c:numCache>
            </c:numRef>
          </c:yVal>
          <c:smooth val="0"/>
        </c:ser>
        <c:axId val="58909708"/>
        <c:axId val="74485438"/>
      </c:scatterChart>
      <c:valAx>
        <c:axId val="58909708"/>
        <c:scaling>
          <c:orientation val="minMax"/>
          <c:max val="31"/>
          <c:min val="1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4485438"/>
        <c:crosses val="autoZero"/>
        <c:crossBetween val="midCat"/>
        <c:majorUnit val="3"/>
      </c:valAx>
      <c:valAx>
        <c:axId val="74485438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8909708"/>
        <c:crosses val="autoZero"/>
        <c:crossBetween val="midCat"/>
        <c:majorUnit val="1"/>
      </c:valAx>
      <c:spPr>
        <a:noFill/>
        <a:ln w="9360">
          <a:solidFill>
            <a:srgbClr val="000000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300" spc="-1" strike="noStrike">
                <a:solidFill>
                  <a:srgbClr val="000000"/>
                </a:solidFill>
                <a:latin typeface="Calibri"/>
              </a:rPr>
              <a:t>declination of the Moon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9763958238765"/>
          <c:y val="0.137218045112782"/>
          <c:w val="0.855821606899682"/>
          <c:h val="0.765127103472968"/>
        </c:manualLayout>
      </c:layout>
      <c:scatterChart>
        <c:scatterStyle val="lineMarker"/>
        <c:varyColors val="0"/>
        <c:ser>
          <c:idx val="0"/>
          <c:order val="0"/>
          <c:spPr>
            <a:noFill/>
            <a:ln w="18000">
              <a:solidFill>
                <a:srgbClr val="ff0000"/>
              </a:solidFill>
              <a:round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calc!$BA$2:$BA$32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calc!$AG$2:$AG$32</c:f>
              <c:numCache>
                <c:formatCode>General</c:formatCode>
                <c:ptCount val="31"/>
                <c:pt idx="0">
                  <c:v>-24.5776321264866</c:v>
                </c:pt>
                <c:pt idx="1">
                  <c:v>-26.8326844736407</c:v>
                </c:pt>
                <c:pt idx="2">
                  <c:v>-27.3837139093356</c:v>
                </c:pt>
                <c:pt idx="3">
                  <c:v>-26.1466940590779</c:v>
                </c:pt>
                <c:pt idx="4">
                  <c:v>-23.2321924762633</c:v>
                </c:pt>
                <c:pt idx="5">
                  <c:v>-18.9100837635884</c:v>
                </c:pt>
                <c:pt idx="6">
                  <c:v>-13.5391743147829</c:v>
                </c:pt>
                <c:pt idx="7">
                  <c:v>-7.50385044521463</c:v>
                </c:pt>
                <c:pt idx="8">
                  <c:v>-1.1759712230116</c:v>
                </c:pt>
                <c:pt idx="9">
                  <c:v>5.10259087066115</c:v>
                </c:pt>
                <c:pt idx="10">
                  <c:v>11.0266269939916</c:v>
                </c:pt>
                <c:pt idx="11">
                  <c:v>16.3296741317099</c:v>
                </c:pt>
                <c:pt idx="12">
                  <c:v>20.7844843243622</c:v>
                </c:pt>
                <c:pt idx="13">
                  <c:v>24.204427486773</c:v>
                </c:pt>
                <c:pt idx="14">
                  <c:v>26.4485379655136</c:v>
                </c:pt>
                <c:pt idx="15">
                  <c:v>27.4307332422599</c:v>
                </c:pt>
                <c:pt idx="16">
                  <c:v>27.1289265862069</c:v>
                </c:pt>
                <c:pt idx="17">
                  <c:v>25.5865078004685</c:v>
                </c:pt>
                <c:pt idx="18">
                  <c:v>22.9018667162038</c:v>
                </c:pt>
                <c:pt idx="19">
                  <c:v>19.2097332219753</c:v>
                </c:pt>
                <c:pt idx="20">
                  <c:v>14.6636405824598</c:v>
                </c:pt>
                <c:pt idx="21">
                  <c:v>9.42755448079969</c:v>
                </c:pt>
                <c:pt idx="22">
                  <c:v>3.67941012625683</c:v>
                </c:pt>
                <c:pt idx="23">
                  <c:v>-2.37563441446385</c:v>
                </c:pt>
                <c:pt idx="24">
                  <c:v>-8.48742237717936</c:v>
                </c:pt>
                <c:pt idx="25">
                  <c:v>-14.3455941553217</c:v>
                </c:pt>
                <c:pt idx="26">
                  <c:v>-19.5762819731176</c:v>
                </c:pt>
                <c:pt idx="27">
                  <c:v>-23.7630432845527</c:v>
                </c:pt>
                <c:pt idx="28">
                  <c:v>-26.504263819981</c:v>
                </c:pt>
                <c:pt idx="29">
                  <c:v>-27.5046306427435</c:v>
                </c:pt>
                <c:pt idx="30">
                  <c:v>-26.663636191449</c:v>
                </c:pt>
              </c:numCache>
            </c:numRef>
          </c:yVal>
          <c:smooth val="0"/>
        </c:ser>
        <c:axId val="32994879"/>
        <c:axId val="35672941"/>
      </c:scatterChart>
      <c:valAx>
        <c:axId val="32994879"/>
        <c:scaling>
          <c:orientation val="minMax"/>
          <c:max val="31"/>
          <c:min val="1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5672941"/>
        <c:crosses val="autoZero"/>
        <c:crossBetween val="midCat"/>
        <c:majorUnit val="3"/>
      </c:valAx>
      <c:valAx>
        <c:axId val="35672941"/>
        <c:scaling>
          <c:orientation val="minMax"/>
          <c:max val="30"/>
          <c:min val="-30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994879"/>
        <c:crosses val="autoZero"/>
        <c:crossBetween val="midCat"/>
        <c:majorUnit val="5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Topocentric Distance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672544238104"/>
          <c:y val="0.13972286374134"/>
          <c:w val="0.851435002813731"/>
          <c:h val="0.756560990972076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calc!$BA$2:$BA$32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calc!$BK$2:$BK$32</c:f>
              <c:numCache>
                <c:formatCode>General</c:formatCode>
                <c:ptCount val="31"/>
                <c:pt idx="0">
                  <c:v>374557.589526501</c:v>
                </c:pt>
                <c:pt idx="1">
                  <c:v>371630.805426535</c:v>
                </c:pt>
                <c:pt idx="2">
                  <c:v>369123.599500981</c:v>
                </c:pt>
                <c:pt idx="3">
                  <c:v>367149.379666133</c:v>
                </c:pt>
                <c:pt idx="4">
                  <c:v>365858.257678808</c:v>
                </c:pt>
                <c:pt idx="5">
                  <c:v>365420.25725133</c:v>
                </c:pt>
                <c:pt idx="6">
                  <c:v>365993.755746215</c:v>
                </c:pt>
                <c:pt idx="7">
                  <c:v>367685.122393512</c:v>
                </c:pt>
                <c:pt idx="8">
                  <c:v>370509.980289514</c:v>
                </c:pt>
                <c:pt idx="9">
                  <c:v>374368.197215509</c:v>
                </c:pt>
                <c:pt idx="10">
                  <c:v>379041.393822233</c:v>
                </c:pt>
                <c:pt idx="11">
                  <c:v>384214.105130312</c:v>
                </c:pt>
                <c:pt idx="12">
                  <c:v>389511.627907239</c:v>
                </c:pt>
                <c:pt idx="13">
                  <c:v>394543.498650227</c:v>
                </c:pt>
                <c:pt idx="14">
                  <c:v>398943.087295562</c:v>
                </c:pt>
                <c:pt idx="15">
                  <c:v>402398.721206234</c:v>
                </c:pt>
                <c:pt idx="16">
                  <c:v>404676.188231714</c:v>
                </c:pt>
                <c:pt idx="17">
                  <c:v>405634.036797525</c:v>
                </c:pt>
                <c:pt idx="18">
                  <c:v>405232.272471838</c:v>
                </c:pt>
                <c:pt idx="19">
                  <c:v>403533.901458026</c:v>
                </c:pt>
                <c:pt idx="20">
                  <c:v>400698.668541528</c:v>
                </c:pt>
                <c:pt idx="21">
                  <c:v>396968.978411979</c:v>
                </c:pt>
                <c:pt idx="22">
                  <c:v>392648.386723687</c:v>
                </c:pt>
                <c:pt idx="23">
                  <c:v>388073.113138032</c:v>
                </c:pt>
                <c:pt idx="24">
                  <c:v>383577.826870812</c:v>
                </c:pt>
                <c:pt idx="25">
                  <c:v>379459.283585441</c:v>
                </c:pt>
                <c:pt idx="26">
                  <c:v>375944.344884528</c:v>
                </c:pt>
                <c:pt idx="27">
                  <c:v>373170.196216924</c:v>
                </c:pt>
                <c:pt idx="28">
                  <c:v>371182.444037524</c:v>
                </c:pt>
                <c:pt idx="29">
                  <c:v>369951.63215489</c:v>
                </c:pt>
                <c:pt idx="30">
                  <c:v>369402.949716886</c:v>
                </c:pt>
              </c:numCache>
            </c:numRef>
          </c:yVal>
          <c:smooth val="0"/>
        </c:ser>
        <c:axId val="39142117"/>
        <c:axId val="31273216"/>
      </c:scatterChart>
      <c:valAx>
        <c:axId val="39142117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273216"/>
        <c:crosses val="autoZero"/>
        <c:crossBetween val="between"/>
        <c:majorUnit val="3"/>
      </c:valAx>
      <c:valAx>
        <c:axId val="31273216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9142117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540979510244878"/>
          <c:y val="0.041879016175493"/>
          <c:w val="0.925537231384308"/>
          <c:h val="0.899512519388434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az illum'!$D$2:$D$32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'elev az illum'!$G$2:$G$32</c:f>
              <c:numCache>
                <c:formatCode>General</c:formatCode>
                <c:ptCount val="31"/>
                <c:pt idx="0">
                  <c:v>-15.8570727688493</c:v>
                </c:pt>
                <c:pt idx="1">
                  <c:v>-3.26311632014312</c:v>
                </c:pt>
                <c:pt idx="2">
                  <c:v>8.81471548400579</c:v>
                </c:pt>
                <c:pt idx="3">
                  <c:v>20.9814752422557</c:v>
                </c:pt>
                <c:pt idx="4">
                  <c:v>32.9498929320185</c:v>
                </c:pt>
                <c:pt idx="5">
                  <c:v>44.3669984182121</c:v>
                </c:pt>
                <c:pt idx="6">
                  <c:v>54.5731824611641</c:v>
                </c:pt>
                <c:pt idx="7">
                  <c:v>62.1735413055554</c:v>
                </c:pt>
                <c:pt idx="8">
                  <c:v>64.8365908863673</c:v>
                </c:pt>
                <c:pt idx="9">
                  <c:v>61.4405775260854</c:v>
                </c:pt>
                <c:pt idx="10">
                  <c:v>53.9773728073346</c:v>
                </c:pt>
                <c:pt idx="11">
                  <c:v>44.7200096686689</c:v>
                </c:pt>
                <c:pt idx="12">
                  <c:v>34.8294718658468</c:v>
                </c:pt>
                <c:pt idx="13">
                  <c:v>24.801029387157</c:v>
                </c:pt>
                <c:pt idx="14">
                  <c:v>14.845112942005</c:v>
                </c:pt>
                <c:pt idx="15">
                  <c:v>5.09828589506565</c:v>
                </c:pt>
                <c:pt idx="16">
                  <c:v>-4.71603265542886</c:v>
                </c:pt>
                <c:pt idx="17">
                  <c:v>-14.335204479944</c:v>
                </c:pt>
                <c:pt idx="18">
                  <c:v>-23.6332316645455</c:v>
                </c:pt>
                <c:pt idx="19">
                  <c:v>-32.669297760477</c:v>
                </c:pt>
                <c:pt idx="20">
                  <c:v>-41.2579149052841</c:v>
                </c:pt>
                <c:pt idx="21">
                  <c:v>-49.0156030545642</c:v>
                </c:pt>
                <c:pt idx="22">
                  <c:v>-55.189125482285</c:v>
                </c:pt>
                <c:pt idx="23">
                  <c:v>-58.5454001534813</c:v>
                </c:pt>
                <c:pt idx="24">
                  <c:v>-57.8756532200562</c:v>
                </c:pt>
                <c:pt idx="25">
                  <c:v>-53.1502282574318</c:v>
                </c:pt>
                <c:pt idx="26">
                  <c:v>-45.4949412390404</c:v>
                </c:pt>
                <c:pt idx="27">
                  <c:v>-36.0961824583314</c:v>
                </c:pt>
                <c:pt idx="28">
                  <c:v>-25.7553180009387</c:v>
                </c:pt>
                <c:pt idx="29">
                  <c:v>-14.9756820337465</c:v>
                </c:pt>
                <c:pt idx="30">
                  <c:v>-3.79554522839494</c:v>
                </c:pt>
              </c:numCache>
            </c:numRef>
          </c:yVal>
          <c:smooth val="0"/>
        </c:ser>
        <c:axId val="53317189"/>
        <c:axId val="41978734"/>
      </c:scatterChart>
      <c:valAx>
        <c:axId val="53317189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36394302848576"/>
              <c:y val="0.41014846000443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1978734"/>
        <c:crosses val="autoZero"/>
        <c:crossBetween val="midCat"/>
        <c:majorUnit val="3"/>
      </c:valAx>
      <c:valAx>
        <c:axId val="41978734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elev_r</a:t>
                </a:r>
              </a:p>
            </c:rich>
          </c:tx>
          <c:layout>
            <c:manualLayout>
              <c:xMode val="edge"/>
              <c:yMode val="edge"/>
              <c:x val="0.105009995002499"/>
              <c:y val="0.0653667183691558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3317189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559060528452745"/>
          <c:y val="0.0419457899618675"/>
          <c:w val="0.923855331376101"/>
          <c:h val="0.876739152839328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ff0000"/>
            </a:solidFill>
            <a:ln w="216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az illum'!$D$2:$D$32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'elev az illum'!$H$2:$H$32</c:f>
              <c:numCache>
                <c:formatCode>General</c:formatCode>
                <c:ptCount val="31"/>
                <c:pt idx="0">
                  <c:v>234.546147481958</c:v>
                </c:pt>
                <c:pt idx="1">
                  <c:v>239.330572994835</c:v>
                </c:pt>
                <c:pt idx="2">
                  <c:v>244.249552253653</c:v>
                </c:pt>
                <c:pt idx="3">
                  <c:v>249.784727109933</c:v>
                </c:pt>
                <c:pt idx="4">
                  <c:v>256.598340810084</c:v>
                </c:pt>
                <c:pt idx="5">
                  <c:v>265.805606710656</c:v>
                </c:pt>
                <c:pt idx="6">
                  <c:v>279.452443101673</c:v>
                </c:pt>
                <c:pt idx="7">
                  <c:v>300.728935812199</c:v>
                </c:pt>
                <c:pt idx="8">
                  <c:v>330.102094016074</c:v>
                </c:pt>
                <c:pt idx="9">
                  <c:v>358.155983579246</c:v>
                </c:pt>
                <c:pt idx="10">
                  <c:v>17.5553912850312</c:v>
                </c:pt>
                <c:pt idx="11">
                  <c:v>30.160904529589</c:v>
                </c:pt>
                <c:pt idx="12">
                  <c:v>38.9829027318452</c:v>
                </c:pt>
                <c:pt idx="13">
                  <c:v>45.7990333249298</c:v>
                </c:pt>
                <c:pt idx="14">
                  <c:v>51.573148802871</c:v>
                </c:pt>
                <c:pt idx="15">
                  <c:v>56.8752173924366</c:v>
                </c:pt>
                <c:pt idx="16">
                  <c:v>62.100955414123</c:v>
                </c:pt>
                <c:pt idx="17">
                  <c:v>67.5912540957175</c:v>
                </c:pt>
                <c:pt idx="18">
                  <c:v>73.716977263822</c:v>
                </c:pt>
                <c:pt idx="19">
                  <c:v>80.9671893258475</c:v>
                </c:pt>
                <c:pt idx="20">
                  <c:v>90.0669059391422</c:v>
                </c:pt>
                <c:pt idx="21">
                  <c:v>102.115068328161</c:v>
                </c:pt>
                <c:pt idx="22">
                  <c:v>118.525852439363</c:v>
                </c:pt>
                <c:pt idx="23">
                  <c:v>139.91892414659</c:v>
                </c:pt>
                <c:pt idx="24">
                  <c:v>163.627396015451</c:v>
                </c:pt>
                <c:pt idx="25">
                  <c:v>184.677688454351</c:v>
                </c:pt>
                <c:pt idx="26">
                  <c:v>200.927241679011</c:v>
                </c:pt>
                <c:pt idx="27">
                  <c:v>213.247705256465</c:v>
                </c:pt>
                <c:pt idx="28">
                  <c:v>223.074368183853</c:v>
                </c:pt>
                <c:pt idx="29">
                  <c:v>231.506237660678</c:v>
                </c:pt>
                <c:pt idx="30">
                  <c:v>239.310506045274</c:v>
                </c:pt>
              </c:numCache>
            </c:numRef>
          </c:yVal>
          <c:smooth val="0"/>
        </c:ser>
        <c:axId val="43944273"/>
        <c:axId val="33389031"/>
      </c:scatterChart>
      <c:valAx>
        <c:axId val="43944273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18477106627522"/>
              <c:y val="0.8522106564979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3389031"/>
        <c:crosses val="autoZero"/>
        <c:crossBetween val="midCat"/>
        <c:majorUnit val="3"/>
      </c:valAx>
      <c:valAx>
        <c:axId val="33389031"/>
        <c:scaling>
          <c:orientation val="minMax"/>
          <c:max val="360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az</a:t>
                </a:r>
              </a:p>
            </c:rich>
          </c:tx>
          <c:layout>
            <c:manualLayout>
              <c:xMode val="edge"/>
              <c:yMode val="edge"/>
              <c:x val="0.130176775563745"/>
              <c:y val="0.0438008863238174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944273"/>
        <c:crosses val="autoZero"/>
        <c:crossBetween val="midCat"/>
        <c:majorUnit val="30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84758457121458"/>
          <c:y val="0.0421095252555927"/>
          <c:w val="0.800961178379728"/>
          <c:h val="0.868711408037251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az illum'!$D$2:$D$32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'elev az illum'!$G$2:$G$32</c:f>
              <c:numCache>
                <c:formatCode>General</c:formatCode>
                <c:ptCount val="31"/>
                <c:pt idx="0">
                  <c:v>-15.8570727688493</c:v>
                </c:pt>
                <c:pt idx="1">
                  <c:v>-3.26311632014312</c:v>
                </c:pt>
                <c:pt idx="2">
                  <c:v>8.81471548400579</c:v>
                </c:pt>
                <c:pt idx="3">
                  <c:v>20.9814752422557</c:v>
                </c:pt>
                <c:pt idx="4">
                  <c:v>32.9498929320185</c:v>
                </c:pt>
                <c:pt idx="5">
                  <c:v>44.3669984182121</c:v>
                </c:pt>
                <c:pt idx="6">
                  <c:v>54.5731824611641</c:v>
                </c:pt>
                <c:pt idx="7">
                  <c:v>62.1735413055554</c:v>
                </c:pt>
                <c:pt idx="8">
                  <c:v>64.8365908863673</c:v>
                </c:pt>
                <c:pt idx="9">
                  <c:v>61.4405775260854</c:v>
                </c:pt>
                <c:pt idx="10">
                  <c:v>53.9773728073346</c:v>
                </c:pt>
                <c:pt idx="11">
                  <c:v>44.7200096686689</c:v>
                </c:pt>
                <c:pt idx="12">
                  <c:v>34.8294718658468</c:v>
                </c:pt>
                <c:pt idx="13">
                  <c:v>24.801029387157</c:v>
                </c:pt>
                <c:pt idx="14">
                  <c:v>14.845112942005</c:v>
                </c:pt>
                <c:pt idx="15">
                  <c:v>5.09828589506565</c:v>
                </c:pt>
                <c:pt idx="16">
                  <c:v>-4.71603265542886</c:v>
                </c:pt>
                <c:pt idx="17">
                  <c:v>-14.335204479944</c:v>
                </c:pt>
                <c:pt idx="18">
                  <c:v>-23.6332316645455</c:v>
                </c:pt>
                <c:pt idx="19">
                  <c:v>-32.669297760477</c:v>
                </c:pt>
                <c:pt idx="20">
                  <c:v>-41.2579149052841</c:v>
                </c:pt>
                <c:pt idx="21">
                  <c:v>-49.0156030545642</c:v>
                </c:pt>
                <c:pt idx="22">
                  <c:v>-55.189125482285</c:v>
                </c:pt>
                <c:pt idx="23">
                  <c:v>-58.5454001534813</c:v>
                </c:pt>
                <c:pt idx="24">
                  <c:v>-57.8756532200562</c:v>
                </c:pt>
                <c:pt idx="25">
                  <c:v>-53.1502282574318</c:v>
                </c:pt>
                <c:pt idx="26">
                  <c:v>-45.4949412390404</c:v>
                </c:pt>
                <c:pt idx="27">
                  <c:v>-36.0961824583314</c:v>
                </c:pt>
                <c:pt idx="28">
                  <c:v>-25.7553180009387</c:v>
                </c:pt>
                <c:pt idx="29">
                  <c:v>-14.9756820337465</c:v>
                </c:pt>
                <c:pt idx="30">
                  <c:v>-3.79554522839494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ff420e"/>
            </a:solidFill>
            <a:ln w="216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az illum'!$D$2:$D$32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'elev az illum'!$I$2:$I$32</c:f>
              <c:numCache>
                <c:formatCode>General</c:formatCode>
                <c:ptCount val="31"/>
                <c:pt idx="0">
                  <c:v>28.0287694159073</c:v>
                </c:pt>
                <c:pt idx="1">
                  <c:v>38.7136033976445</c:v>
                </c:pt>
                <c:pt idx="2">
                  <c:v>50.0446533889929</c:v>
                </c:pt>
                <c:pt idx="3">
                  <c:v>61.4198260436843</c:v>
                </c:pt>
                <c:pt idx="4">
                  <c:v>72.221365073845</c:v>
                </c:pt>
                <c:pt idx="5">
                  <c:v>81.8519842497529</c:v>
                </c:pt>
                <c:pt idx="6">
                  <c:v>89.7782623682179</c:v>
                </c:pt>
                <c:pt idx="7">
                  <c:v>95.5798680496168</c:v>
                </c:pt>
                <c:pt idx="8">
                  <c:v>98.9944690907124</c:v>
                </c:pt>
                <c:pt idx="9">
                  <c:v>99.943025191732</c:v>
                </c:pt>
                <c:pt idx="10">
                  <c:v>98.523725040842</c:v>
                </c:pt>
                <c:pt idx="11">
                  <c:v>94.9746420151646</c:v>
                </c:pt>
                <c:pt idx="12">
                  <c:v>89.6182473792447</c:v>
                </c:pt>
                <c:pt idx="13">
                  <c:v>82.8068577317346</c:v>
                </c:pt>
                <c:pt idx="14">
                  <c:v>74.8840389357587</c:v>
                </c:pt>
                <c:pt idx="15">
                  <c:v>66.1671592461193</c:v>
                </c:pt>
                <c:pt idx="16">
                  <c:v>56.947413270073</c:v>
                </c:pt>
                <c:pt idx="17">
                  <c:v>47.4997903903907</c:v>
                </c:pt>
                <c:pt idx="18">
                  <c:v>38.0964804806823</c:v>
                </c:pt>
                <c:pt idx="19">
                  <c:v>29.0203117930434</c:v>
                </c:pt>
                <c:pt idx="20">
                  <c:v>20.5769275893239</c:v>
                </c:pt>
                <c:pt idx="21">
                  <c:v>13.1038362137731</c:v>
                </c:pt>
                <c:pt idx="22">
                  <c:v>6.97163271317972</c:v>
                </c:pt>
                <c:pt idx="23">
                  <c:v>2.57000128510639</c:v>
                </c:pt>
                <c:pt idx="24">
                  <c:v>0.271999294278513</c:v>
                </c:pt>
                <c:pt idx="25">
                  <c:v>0.37705190600259</c:v>
                </c:pt>
                <c:pt idx="26">
                  <c:v>3.04478614751538</c:v>
                </c:pt>
                <c:pt idx="27">
                  <c:v>8.24183592312381</c:v>
                </c:pt>
                <c:pt idx="28">
                  <c:v>15.7235003278359</c:v>
                </c:pt>
                <c:pt idx="29">
                  <c:v>25.0586649330188</c:v>
                </c:pt>
                <c:pt idx="30">
                  <c:v>35.6872939988236</c:v>
                </c:pt>
              </c:numCache>
            </c:numRef>
          </c:yVal>
          <c:smooth val="0"/>
        </c:ser>
        <c:axId val="8012283"/>
        <c:axId val="66658275"/>
      </c:scatterChart>
      <c:valAx>
        <c:axId val="8012283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756335039320934"/>
              <c:y val="0.75736410567871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6658275"/>
        <c:crosses val="autoZero"/>
        <c:crossBetween val="midCat"/>
        <c:majorUnit val="3"/>
      </c:valAx>
      <c:valAx>
        <c:axId val="66658275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ff0000"/>
                    </a:solidFill>
                    <a:latin typeface="Arial"/>
                  </a:defRPr>
                </a:pPr>
                <a:r>
                  <a:rPr b="1" sz="1100" spc="-1" strike="noStrike">
                    <a:solidFill>
                      <a:srgbClr val="ff0000"/>
                    </a:solidFill>
                    <a:latin typeface="Arial"/>
                  </a:rPr>
                  <a:t>ilum</a:t>
                </a:r>
              </a:p>
            </c:rich>
          </c:tx>
          <c:layout>
            <c:manualLayout>
              <c:xMode val="edge"/>
              <c:yMode val="edge"/>
              <c:x val="0.106790662838597"/>
              <c:y val="0.06316428788338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ff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012283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26633603645868"/>
          <c:y val="0.0648127631287392"/>
          <c:w val="0.877085986193955"/>
          <c:h val="0.879902503877687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ff00ff"/>
            </a:solidFill>
            <a:ln w="180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az illum'!$H$2:$H$32</c:f>
              <c:numCache>
                <c:formatCode>General</c:formatCode>
                <c:ptCount val="31"/>
                <c:pt idx="0">
                  <c:v>234.546147481958</c:v>
                </c:pt>
                <c:pt idx="1">
                  <c:v>239.330572994835</c:v>
                </c:pt>
                <c:pt idx="2">
                  <c:v>244.249552253653</c:v>
                </c:pt>
                <c:pt idx="3">
                  <c:v>249.784727109933</c:v>
                </c:pt>
                <c:pt idx="4">
                  <c:v>256.598340810084</c:v>
                </c:pt>
                <c:pt idx="5">
                  <c:v>265.805606710656</c:v>
                </c:pt>
                <c:pt idx="6">
                  <c:v>279.452443101673</c:v>
                </c:pt>
                <c:pt idx="7">
                  <c:v>300.728935812199</c:v>
                </c:pt>
                <c:pt idx="8">
                  <c:v>330.102094016074</c:v>
                </c:pt>
                <c:pt idx="9">
                  <c:v>358.155983579246</c:v>
                </c:pt>
                <c:pt idx="10">
                  <c:v>17.5553912850312</c:v>
                </c:pt>
                <c:pt idx="11">
                  <c:v>30.160904529589</c:v>
                </c:pt>
                <c:pt idx="12">
                  <c:v>38.9829027318452</c:v>
                </c:pt>
                <c:pt idx="13">
                  <c:v>45.7990333249298</c:v>
                </c:pt>
                <c:pt idx="14">
                  <c:v>51.573148802871</c:v>
                </c:pt>
                <c:pt idx="15">
                  <c:v>56.8752173924366</c:v>
                </c:pt>
                <c:pt idx="16">
                  <c:v>62.100955414123</c:v>
                </c:pt>
                <c:pt idx="17">
                  <c:v>67.5912540957175</c:v>
                </c:pt>
                <c:pt idx="18">
                  <c:v>73.716977263822</c:v>
                </c:pt>
                <c:pt idx="19">
                  <c:v>80.9671893258475</c:v>
                </c:pt>
                <c:pt idx="20">
                  <c:v>90.0669059391422</c:v>
                </c:pt>
                <c:pt idx="21">
                  <c:v>102.115068328161</c:v>
                </c:pt>
                <c:pt idx="22">
                  <c:v>118.525852439363</c:v>
                </c:pt>
                <c:pt idx="23">
                  <c:v>139.91892414659</c:v>
                </c:pt>
                <c:pt idx="24">
                  <c:v>163.627396015451</c:v>
                </c:pt>
                <c:pt idx="25">
                  <c:v>184.677688454351</c:v>
                </c:pt>
                <c:pt idx="26">
                  <c:v>200.927241679011</c:v>
                </c:pt>
                <c:pt idx="27">
                  <c:v>213.247705256465</c:v>
                </c:pt>
                <c:pt idx="28">
                  <c:v>223.074368183853</c:v>
                </c:pt>
                <c:pt idx="29">
                  <c:v>231.506237660678</c:v>
                </c:pt>
                <c:pt idx="30">
                  <c:v>239.310506045274</c:v>
                </c:pt>
              </c:numCache>
            </c:numRef>
          </c:xVal>
          <c:yVal>
            <c:numRef>
              <c:f>'elev az illum'!$G$2:$G$32</c:f>
              <c:numCache>
                <c:formatCode>General</c:formatCode>
                <c:ptCount val="31"/>
                <c:pt idx="0">
                  <c:v>-15.8570727688493</c:v>
                </c:pt>
                <c:pt idx="1">
                  <c:v>-3.26311632014312</c:v>
                </c:pt>
                <c:pt idx="2">
                  <c:v>8.81471548400579</c:v>
                </c:pt>
                <c:pt idx="3">
                  <c:v>20.9814752422557</c:v>
                </c:pt>
                <c:pt idx="4">
                  <c:v>32.9498929320185</c:v>
                </c:pt>
                <c:pt idx="5">
                  <c:v>44.3669984182121</c:v>
                </c:pt>
                <c:pt idx="6">
                  <c:v>54.5731824611641</c:v>
                </c:pt>
                <c:pt idx="7">
                  <c:v>62.1735413055554</c:v>
                </c:pt>
                <c:pt idx="8">
                  <c:v>64.8365908863673</c:v>
                </c:pt>
                <c:pt idx="9">
                  <c:v>61.4405775260854</c:v>
                </c:pt>
                <c:pt idx="10">
                  <c:v>53.9773728073346</c:v>
                </c:pt>
                <c:pt idx="11">
                  <c:v>44.7200096686689</c:v>
                </c:pt>
                <c:pt idx="12">
                  <c:v>34.8294718658468</c:v>
                </c:pt>
                <c:pt idx="13">
                  <c:v>24.801029387157</c:v>
                </c:pt>
                <c:pt idx="14">
                  <c:v>14.845112942005</c:v>
                </c:pt>
                <c:pt idx="15">
                  <c:v>5.09828589506565</c:v>
                </c:pt>
                <c:pt idx="16">
                  <c:v>-4.71603265542886</c:v>
                </c:pt>
                <c:pt idx="17">
                  <c:v>-14.335204479944</c:v>
                </c:pt>
                <c:pt idx="18">
                  <c:v>-23.6332316645455</c:v>
                </c:pt>
                <c:pt idx="19">
                  <c:v>-32.669297760477</c:v>
                </c:pt>
                <c:pt idx="20">
                  <c:v>-41.2579149052841</c:v>
                </c:pt>
                <c:pt idx="21">
                  <c:v>-49.0156030545642</c:v>
                </c:pt>
                <c:pt idx="22">
                  <c:v>-55.189125482285</c:v>
                </c:pt>
                <c:pt idx="23">
                  <c:v>-58.5454001534813</c:v>
                </c:pt>
                <c:pt idx="24">
                  <c:v>-57.8756532200562</c:v>
                </c:pt>
                <c:pt idx="25">
                  <c:v>-53.1502282574318</c:v>
                </c:pt>
                <c:pt idx="26">
                  <c:v>-45.4949412390404</c:v>
                </c:pt>
                <c:pt idx="27">
                  <c:v>-36.0961824583314</c:v>
                </c:pt>
                <c:pt idx="28">
                  <c:v>-25.7553180009387</c:v>
                </c:pt>
                <c:pt idx="29">
                  <c:v>-14.9756820337465</c:v>
                </c:pt>
                <c:pt idx="30">
                  <c:v>-3.79554522839494</c:v>
                </c:pt>
              </c:numCache>
            </c:numRef>
          </c:yVal>
          <c:smooth val="0"/>
        </c:ser>
        <c:axId val="56742840"/>
        <c:axId val="26917613"/>
      </c:scatterChart>
      <c:valAx>
        <c:axId val="56742840"/>
        <c:scaling>
          <c:orientation val="minMax"/>
          <c:max val="360"/>
          <c:min val="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az</a:t>
                </a:r>
              </a:p>
            </c:rich>
          </c:tx>
          <c:layout>
            <c:manualLayout>
              <c:xMode val="edge"/>
              <c:yMode val="edge"/>
              <c:x val="0.880638026941894"/>
              <c:y val="0.422557057389763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6917613"/>
        <c:crosses val="autoZero"/>
        <c:crossBetween val="midCat"/>
        <c:majorUnit val="30"/>
      </c:valAx>
      <c:valAx>
        <c:axId val="2691761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1" sz="1200" spc="-1" strike="noStrike">
                    <a:solidFill>
                      <a:srgbClr val="000000"/>
                    </a:solidFill>
                    <a:latin typeface="Arial"/>
                  </a:rPr>
                  <a:t>elev_r</a:t>
                </a:r>
              </a:p>
            </c:rich>
          </c:tx>
          <c:layout>
            <c:manualLayout>
              <c:xMode val="edge"/>
              <c:yMode val="edge"/>
              <c:x val="0.0812277997453254"/>
              <c:y val="0.074894748504320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6742840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latin typeface="Arial"/>
              </a:defRPr>
            </a:pPr>
            <a:r>
              <a:rPr b="0" sz="1200" spc="-1" strike="noStrike">
                <a:latin typeface="Arial"/>
              </a:rPr>
              <a:t>geocentric distance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74066435884"/>
          <c:y val="0.118204488778055"/>
          <c:w val="0.812697945054136"/>
          <c:h val="0.796209476309227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ff0000"/>
            </a:solidFill>
            <a:ln w="216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'distance declin  RA'!$I$2:$I$32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'distance declin  RA'!$J$2:$J$32</c:f>
              <c:numCache>
                <c:formatCode>General</c:formatCode>
                <c:ptCount val="31"/>
                <c:pt idx="0">
                  <c:v>372864.071469498</c:v>
                </c:pt>
                <c:pt idx="1">
                  <c:v>371280.156240906</c:v>
                </c:pt>
                <c:pt idx="2">
                  <c:v>370135.931121461</c:v>
                </c:pt>
                <c:pt idx="3">
                  <c:v>369469.835110635</c:v>
                </c:pt>
                <c:pt idx="4">
                  <c:v>369358.168557707</c:v>
                </c:pt>
                <c:pt idx="5">
                  <c:v>369903.130398636</c:v>
                </c:pt>
                <c:pt idx="6">
                  <c:v>371206.952623731</c:v>
                </c:pt>
                <c:pt idx="7">
                  <c:v>373337.568290348</c:v>
                </c:pt>
                <c:pt idx="8">
                  <c:v>376294.646632273</c:v>
                </c:pt>
                <c:pt idx="9">
                  <c:v>379986.128348195</c:v>
                </c:pt>
                <c:pt idx="10">
                  <c:v>384222.934828096</c:v>
                </c:pt>
                <c:pt idx="11">
                  <c:v>388733.6378279</c:v>
                </c:pt>
                <c:pt idx="12">
                  <c:v>393194.332797055</c:v>
                </c:pt>
                <c:pt idx="13">
                  <c:v>397265.214038636</c:v>
                </c:pt>
                <c:pt idx="14">
                  <c:v>400625.949580846</c:v>
                </c:pt>
                <c:pt idx="15">
                  <c:v>403005.458617671</c:v>
                </c:pt>
                <c:pt idx="16">
                  <c:v>404205.102359907</c:v>
                </c:pt>
                <c:pt idx="17">
                  <c:v>404115.59750547</c:v>
                </c:pt>
                <c:pt idx="18">
                  <c:v>402727.438927862</c:v>
                </c:pt>
                <c:pt idx="19">
                  <c:v>400133.913154532</c:v>
                </c:pt>
                <c:pt idx="20">
                  <c:v>396525.927066574</c:v>
                </c:pt>
                <c:pt idx="21">
                  <c:v>392178.44519009</c:v>
                </c:pt>
                <c:pt idx="22">
                  <c:v>387428.461622192</c:v>
                </c:pt>
                <c:pt idx="23">
                  <c:v>382644.337384136</c:v>
                </c:pt>
                <c:pt idx="24">
                  <c:v>378187.391599323</c:v>
                </c:pt>
                <c:pt idx="25">
                  <c:v>374369.771007691</c:v>
                </c:pt>
                <c:pt idx="26">
                  <c:v>371416.660252167</c:v>
                </c:pt>
                <c:pt idx="27">
                  <c:v>369442.856973468</c:v>
                </c:pt>
                <c:pt idx="28">
                  <c:v>368451.171696808</c:v>
                </c:pt>
                <c:pt idx="29">
                  <c:v>368353.409166924</c:v>
                </c:pt>
                <c:pt idx="30">
                  <c:v>369007.135516517</c:v>
                </c:pt>
              </c:numCache>
            </c:numRef>
          </c:yVal>
          <c:smooth val="0"/>
        </c:ser>
        <c:axId val="75482270"/>
        <c:axId val="643385"/>
      </c:scatterChart>
      <c:valAx>
        <c:axId val="75482270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775281726449142"/>
              <c:y val="0.808379052369077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3385"/>
        <c:crosses val="autoZero"/>
        <c:crossBetween val="midCat"/>
        <c:majorUnit val="3"/>
      </c:valAx>
      <c:valAx>
        <c:axId val="643385"/>
        <c:scaling>
          <c:orientation val="minMax"/>
          <c:max val="410000"/>
          <c:min val="3500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R / km</a:t>
                </a:r>
              </a:p>
            </c:rich>
          </c:tx>
          <c:layout>
            <c:manualLayout>
              <c:xMode val="edge"/>
              <c:yMode val="edge"/>
              <c:x val="0.151358915813508"/>
              <c:y val="0.14783042394015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5482270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latin typeface="Arial"/>
              </a:defRPr>
            </a:pPr>
            <a:r>
              <a:rPr b="0" sz="1200" spc="-1" strike="noStrike">
                <a:latin typeface="Arial"/>
              </a:rPr>
              <a:t>declination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80703089331913"/>
          <c:y val="0.116982386174809"/>
          <c:w val="0.901765332521686"/>
          <c:h val="0.804918577600532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'distance declin  RA'!$I$2:$I$32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'distance declin  RA'!$K$2:$K$32</c:f>
              <c:numCache>
                <c:formatCode>General</c:formatCode>
                <c:ptCount val="31"/>
                <c:pt idx="0">
                  <c:v>-24.5776321264866</c:v>
                </c:pt>
                <c:pt idx="1">
                  <c:v>-26.8326844736407</c:v>
                </c:pt>
                <c:pt idx="2">
                  <c:v>-27.3837139093356</c:v>
                </c:pt>
                <c:pt idx="3">
                  <c:v>-26.1466940590779</c:v>
                </c:pt>
                <c:pt idx="4">
                  <c:v>-23.2321924762633</c:v>
                </c:pt>
                <c:pt idx="5">
                  <c:v>-18.9100837635884</c:v>
                </c:pt>
                <c:pt idx="6">
                  <c:v>-13.5391743147829</c:v>
                </c:pt>
                <c:pt idx="7">
                  <c:v>-7.50385044521463</c:v>
                </c:pt>
                <c:pt idx="8">
                  <c:v>-1.1759712230116</c:v>
                </c:pt>
                <c:pt idx="9">
                  <c:v>5.10259087066115</c:v>
                </c:pt>
                <c:pt idx="10">
                  <c:v>11.0266269939916</c:v>
                </c:pt>
                <c:pt idx="11">
                  <c:v>16.3296741317099</c:v>
                </c:pt>
                <c:pt idx="12">
                  <c:v>20.7844843243622</c:v>
                </c:pt>
                <c:pt idx="13">
                  <c:v>24.204427486773</c:v>
                </c:pt>
                <c:pt idx="14">
                  <c:v>26.4485379655136</c:v>
                </c:pt>
                <c:pt idx="15">
                  <c:v>27.4307332422599</c:v>
                </c:pt>
                <c:pt idx="16">
                  <c:v>27.1289265862069</c:v>
                </c:pt>
                <c:pt idx="17">
                  <c:v>25.5865078004685</c:v>
                </c:pt>
                <c:pt idx="18">
                  <c:v>22.9018667162038</c:v>
                </c:pt>
                <c:pt idx="19">
                  <c:v>19.2097332219753</c:v>
                </c:pt>
                <c:pt idx="20">
                  <c:v>14.6636405824598</c:v>
                </c:pt>
                <c:pt idx="21">
                  <c:v>9.42755448079969</c:v>
                </c:pt>
                <c:pt idx="22">
                  <c:v>3.67941012625683</c:v>
                </c:pt>
                <c:pt idx="23">
                  <c:v>-2.37563441446385</c:v>
                </c:pt>
                <c:pt idx="24">
                  <c:v>-8.48742237717936</c:v>
                </c:pt>
                <c:pt idx="25">
                  <c:v>-14.3455941553217</c:v>
                </c:pt>
                <c:pt idx="26">
                  <c:v>-19.5762819731176</c:v>
                </c:pt>
                <c:pt idx="27">
                  <c:v>-23.7630432845527</c:v>
                </c:pt>
                <c:pt idx="28">
                  <c:v>-26.504263819981</c:v>
                </c:pt>
                <c:pt idx="29">
                  <c:v>-27.5046306427435</c:v>
                </c:pt>
                <c:pt idx="30">
                  <c:v>-26.663636191449</c:v>
                </c:pt>
              </c:numCache>
            </c:numRef>
          </c:yVal>
          <c:smooth val="0"/>
        </c:ser>
        <c:axId val="72258358"/>
        <c:axId val="89330798"/>
      </c:scatterChart>
      <c:valAx>
        <c:axId val="72258358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14792269061026"/>
              <c:y val="0.426498282928991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9330798"/>
        <c:crosses val="autoZero"/>
        <c:crossBetween val="midCat"/>
        <c:majorUnit val="3"/>
      </c:valAx>
      <c:valAx>
        <c:axId val="89330798"/>
        <c:scaling>
          <c:orientation val="minMax"/>
          <c:max val="30"/>
          <c:min val="-3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2258358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latin typeface="Arial"/>
              </a:defRPr>
            </a:pPr>
            <a:r>
              <a:rPr b="0" sz="1200" spc="-1" strike="noStrike">
                <a:latin typeface="Arial"/>
              </a:rPr>
              <a:t>apparent diameter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35998328574413"/>
          <c:y val="0.139830929885629"/>
          <c:w val="0.879518072289157"/>
          <c:h val="0.772252610641472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00"/>
            </a:solidFill>
            <a:ln w="180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'distance declin  RA'!$I$2:$I$32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'distance declin  RA'!$L$2:$L$32</c:f>
              <c:numCache>
                <c:formatCode>General</c:formatCode>
                <c:ptCount val="31"/>
                <c:pt idx="0">
                  <c:v>31.8859859236292</c:v>
                </c:pt>
                <c:pt idx="1">
                  <c:v>32.1293362745784</c:v>
                </c:pt>
                <c:pt idx="2">
                  <c:v>32.3430566652093</c:v>
                </c:pt>
                <c:pt idx="3">
                  <c:v>32.5174901512391</c:v>
                </c:pt>
                <c:pt idx="4">
                  <c:v>32.6376401709251</c:v>
                </c:pt>
                <c:pt idx="5">
                  <c:v>32.6851032092342</c:v>
                </c:pt>
                <c:pt idx="6">
                  <c:v>32.6423686738014</c:v>
                </c:pt>
                <c:pt idx="7">
                  <c:v>32.4982534609132</c:v>
                </c:pt>
                <c:pt idx="8">
                  <c:v>32.2525850216811</c:v>
                </c:pt>
                <c:pt idx="9">
                  <c:v>31.9183523421782</c:v>
                </c:pt>
                <c:pt idx="10">
                  <c:v>31.5204587640703</c:v>
                </c:pt>
                <c:pt idx="11">
                  <c:v>31.0915289657549</c:v>
                </c:pt>
                <c:pt idx="12">
                  <c:v>30.6662872407858</c:v>
                </c:pt>
                <c:pt idx="13">
                  <c:v>30.2763483167082</c:v>
                </c:pt>
                <c:pt idx="14">
                  <c:v>29.9468069460887</c:v>
                </c:pt>
                <c:pt idx="15">
                  <c:v>29.6951112980133</c:v>
                </c:pt>
                <c:pt idx="16">
                  <c:v>29.5317941610733</c:v>
                </c:pt>
                <c:pt idx="17">
                  <c:v>29.4620530674234</c:v>
                </c:pt>
                <c:pt idx="18">
                  <c:v>29.487080425812</c:v>
                </c:pt>
                <c:pt idx="19">
                  <c:v>29.6044251787304</c:v>
                </c:pt>
                <c:pt idx="20">
                  <c:v>29.8073255715447</c:v>
                </c:pt>
                <c:pt idx="21">
                  <c:v>30.0835916942953</c:v>
                </c:pt>
                <c:pt idx="22">
                  <c:v>30.4149523977798</c:v>
                </c:pt>
                <c:pt idx="23">
                  <c:v>30.7776671775379</c:v>
                </c:pt>
                <c:pt idx="24">
                  <c:v>31.1447032969291</c:v>
                </c:pt>
                <c:pt idx="25">
                  <c:v>31.4891369409006</c:v>
                </c:pt>
                <c:pt idx="26">
                  <c:v>31.7879447007944</c:v>
                </c:pt>
                <c:pt idx="27">
                  <c:v>32.025177686453</c:v>
                </c:pt>
                <c:pt idx="28">
                  <c:v>32.1936451892885</c:v>
                </c:pt>
                <c:pt idx="29">
                  <c:v>32.2945885865161</c:v>
                </c:pt>
                <c:pt idx="30">
                  <c:v>32.3353471972739</c:v>
                </c:pt>
              </c:numCache>
            </c:numRef>
          </c:yVal>
          <c:smooth val="0"/>
        </c:ser>
        <c:axId val="47662615"/>
        <c:axId val="85465531"/>
      </c:scatterChart>
      <c:valAx>
        <c:axId val="47662615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901176962183996"/>
              <c:y val="0.845251118846345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5465531"/>
        <c:crosses val="autoZero"/>
        <c:crossBetween val="midCat"/>
        <c:majorUnit val="3"/>
      </c:valAx>
      <c:valAx>
        <c:axId val="8546553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arcmin</a:t>
                </a:r>
              </a:p>
            </c:rich>
          </c:tx>
          <c:layout>
            <c:manualLayout>
              <c:xMode val="edge"/>
              <c:yMode val="edge"/>
              <c:x val="0.129187269308448"/>
              <c:y val="0.13983092988562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7662615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0314697248959"/>
          <c:y val="0.0941708443920181"/>
          <c:w val="0.819032015837259"/>
          <c:h val="0.786198761427308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14400">
              <a:solidFill>
                <a:srgbClr val="0000ff"/>
              </a:solidFill>
              <a:round/>
            </a:ln>
          </c:spPr>
          <c:marker>
            <c:symbol val="none"/>
          </c:marker>
          <c:dPt>
            <c:idx val="4"/>
            <c:marker>
              <c:symbol val="none"/>
            </c:marker>
          </c:dPt>
          <c:dLbls>
            <c:dLbl>
              <c:idx val="4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'distance declin  RA'!$G$2:$G$32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'distance declin  RA'!$M$2:$M$32</c:f>
              <c:numCache>
                <c:formatCode>General</c:formatCode>
                <c:ptCount val="31"/>
                <c:pt idx="0">
                  <c:v>16.645762917233</c:v>
                </c:pt>
                <c:pt idx="1">
                  <c:v>17.6697835600221</c:v>
                </c:pt>
                <c:pt idx="2">
                  <c:v>18.7251789222217</c:v>
                </c:pt>
                <c:pt idx="3">
                  <c:v>19.778729559221</c:v>
                </c:pt>
                <c:pt idx="4">
                  <c:v>20.7988430000954</c:v>
                </c:pt>
                <c:pt idx="5">
                  <c:v>21.7663619943934</c:v>
                </c:pt>
                <c:pt idx="6">
                  <c:v>22.6775748641979</c:v>
                </c:pt>
                <c:pt idx="7">
                  <c:v>23.5405258900902</c:v>
                </c:pt>
                <c:pt idx="8">
                  <c:v>0.369494056002695</c:v>
                </c:pt>
                <c:pt idx="9">
                  <c:v>1.18068486541347</c:v>
                </c:pt>
                <c:pt idx="10">
                  <c:v>1.98956431438432</c:v>
                </c:pt>
                <c:pt idx="11">
                  <c:v>2.80914190317612</c:v>
                </c:pt>
                <c:pt idx="12">
                  <c:v>3.64849114544767</c:v>
                </c:pt>
                <c:pt idx="13">
                  <c:v>4.51123836677973</c:v>
                </c:pt>
                <c:pt idx="14">
                  <c:v>5.39439382730399</c:v>
                </c:pt>
                <c:pt idx="15">
                  <c:v>6.28846718065824</c:v>
                </c:pt>
                <c:pt idx="16">
                  <c:v>7.17970971039215</c:v>
                </c:pt>
                <c:pt idx="17">
                  <c:v>8.05417807731301</c:v>
                </c:pt>
                <c:pt idx="18">
                  <c:v>8.90192621570511</c:v>
                </c:pt>
                <c:pt idx="19">
                  <c:v>9.71949956852727</c:v>
                </c:pt>
                <c:pt idx="20">
                  <c:v>10.5102012779805</c:v>
                </c:pt>
                <c:pt idx="21">
                  <c:v>11.2829124584762</c:v>
                </c:pt>
                <c:pt idx="22">
                  <c:v>12.0505470887479</c:v>
                </c:pt>
                <c:pt idx="23">
                  <c:v>12.8287402850781</c:v>
                </c:pt>
                <c:pt idx="24">
                  <c:v>13.6347249467676</c:v>
                </c:pt>
                <c:pt idx="25">
                  <c:v>14.4858188631028</c:v>
                </c:pt>
                <c:pt idx="26">
                  <c:v>15.3965733980102</c:v>
                </c:pt>
                <c:pt idx="27">
                  <c:v>16.3737685074083</c:v>
                </c:pt>
                <c:pt idx="28">
                  <c:v>17.410048841584</c:v>
                </c:pt>
                <c:pt idx="29">
                  <c:v>18.4804791025545</c:v>
                </c:pt>
                <c:pt idx="30">
                  <c:v>19.5479519184788</c:v>
                </c:pt>
              </c:numCache>
            </c:numRef>
          </c:yVal>
          <c:smooth val="0"/>
        </c:ser>
        <c:axId val="93825321"/>
        <c:axId val="39875826"/>
      </c:scatterChart>
      <c:valAx>
        <c:axId val="93825321"/>
        <c:scaling>
          <c:orientation val="minMax"/>
          <c:max val="24"/>
          <c:min val="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79780189774046"/>
              <c:y val="0.804285854713457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9875826"/>
        <c:crosses val="autoZero"/>
        <c:crossBetween val="midCat"/>
        <c:majorUnit val="2"/>
      </c:valAx>
      <c:valAx>
        <c:axId val="39875826"/>
        <c:scaling>
          <c:orientation val="minMax"/>
          <c:max val="24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RA / h</a:t>
                </a:r>
              </a:p>
            </c:rich>
          </c:tx>
          <c:layout>
            <c:manualLayout>
              <c:xMode val="edge"/>
              <c:yMode val="edge"/>
              <c:x val="0.115366236603181"/>
              <c:y val="0.129067138503883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3825321"/>
        <c:crosses val="autoZero"/>
        <c:crossBetween val="midCat"/>
        <c:majorUnit val="2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0314697248959"/>
          <c:y val="0.0941708443920181"/>
          <c:w val="0.819032015837259"/>
          <c:h val="0.786198761427308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14400">
              <a:solidFill>
                <a:srgbClr val="0000ff"/>
              </a:solidFill>
              <a:round/>
            </a:ln>
          </c:spPr>
          <c:marker>
            <c:symbol val="none"/>
          </c:marker>
          <c:dPt>
            <c:idx val="4"/>
            <c:marker>
              <c:symbol val="none"/>
            </c:marker>
          </c:dPt>
          <c:dLbls>
            <c:dLbl>
              <c:idx val="4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'distance declin  RA'!$G$2:$G$32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'distance declin  RA'!$N$2:$N$32</c:f>
              <c:numCache>
                <c:formatCode>General</c:formatCode>
                <c:ptCount val="31"/>
                <c:pt idx="0">
                  <c:v>249.686443758495</c:v>
                </c:pt>
                <c:pt idx="1">
                  <c:v>265.046753400332</c:v>
                </c:pt>
                <c:pt idx="2">
                  <c:v>280.877683833326</c:v>
                </c:pt>
                <c:pt idx="3">
                  <c:v>296.680943388315</c:v>
                </c:pt>
                <c:pt idx="4">
                  <c:v>311.982645001432</c:v>
                </c:pt>
                <c:pt idx="5">
                  <c:v>326.495429915901</c:v>
                </c:pt>
                <c:pt idx="6">
                  <c:v>340.163622962969</c:v>
                </c:pt>
                <c:pt idx="7">
                  <c:v>353.107888351353</c:v>
                </c:pt>
                <c:pt idx="8">
                  <c:v>5.54241084004043</c:v>
                </c:pt>
                <c:pt idx="9">
                  <c:v>17.7102729812021</c:v>
                </c:pt>
                <c:pt idx="10">
                  <c:v>29.8434647157648</c:v>
                </c:pt>
                <c:pt idx="11">
                  <c:v>42.1371285476418</c:v>
                </c:pt>
                <c:pt idx="12">
                  <c:v>54.727367181715</c:v>
                </c:pt>
                <c:pt idx="13">
                  <c:v>67.668575501696</c:v>
                </c:pt>
                <c:pt idx="14">
                  <c:v>80.9159074095599</c:v>
                </c:pt>
                <c:pt idx="15">
                  <c:v>94.3270077098736</c:v>
                </c:pt>
                <c:pt idx="16">
                  <c:v>107.695645655882</c:v>
                </c:pt>
                <c:pt idx="17">
                  <c:v>120.812671159695</c:v>
                </c:pt>
                <c:pt idx="18">
                  <c:v>133.528893235577</c:v>
                </c:pt>
                <c:pt idx="19">
                  <c:v>145.792493527909</c:v>
                </c:pt>
                <c:pt idx="20">
                  <c:v>157.653019169708</c:v>
                </c:pt>
                <c:pt idx="21">
                  <c:v>169.243686877143</c:v>
                </c:pt>
                <c:pt idx="22">
                  <c:v>180.758206331218</c:v>
                </c:pt>
                <c:pt idx="23">
                  <c:v>192.431104276171</c:v>
                </c:pt>
                <c:pt idx="24">
                  <c:v>204.520874201514</c:v>
                </c:pt>
                <c:pt idx="25">
                  <c:v>217.287282946542</c:v>
                </c:pt>
                <c:pt idx="26">
                  <c:v>230.948600970153</c:v>
                </c:pt>
                <c:pt idx="27">
                  <c:v>245.606527611124</c:v>
                </c:pt>
                <c:pt idx="28">
                  <c:v>261.15073262376</c:v>
                </c:pt>
                <c:pt idx="29">
                  <c:v>277.207186538317</c:v>
                </c:pt>
                <c:pt idx="30">
                  <c:v>293.219278777181</c:v>
                </c:pt>
              </c:numCache>
            </c:numRef>
          </c:yVal>
          <c:smooth val="0"/>
        </c:ser>
        <c:axId val="62822730"/>
        <c:axId val="18839000"/>
      </c:scatterChart>
      <c:valAx>
        <c:axId val="62822730"/>
        <c:scaling>
          <c:orientation val="minMax"/>
          <c:max val="24"/>
          <c:min val="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797938425831115"/>
              <c:y val="0.804482453553524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8839000"/>
        <c:crosses val="autoZero"/>
        <c:crossBetween val="midCat"/>
        <c:majorUnit val="2"/>
      </c:valAx>
      <c:valAx>
        <c:axId val="18839000"/>
        <c:scaling>
          <c:orientation val="minMax"/>
          <c:max val="360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RA / h</a:t>
                </a:r>
              </a:p>
            </c:rich>
          </c:tx>
          <c:layout>
            <c:manualLayout>
              <c:xMode val="edge"/>
              <c:yMode val="edge"/>
              <c:x val="0.115502764693836"/>
              <c:y val="0.128870539663816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2822730"/>
        <c:crosses val="autoZero"/>
        <c:crossBetween val="midCat"/>
        <c:majorUnit val="30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latin typeface="Arial"/>
              </a:defRPr>
            </a:pPr>
            <a:r>
              <a:rPr b="0" sz="1200" spc="-1" strike="noStrike">
                <a:latin typeface="Arial"/>
              </a:rPr>
              <a:t>diurnal arc, 12 UT (h)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35998328574413"/>
          <c:y val="0.139830929885629"/>
          <c:w val="0.879518072289157"/>
          <c:h val="0.772252610641472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0000ff"/>
            </a:solidFill>
            <a:ln w="21600">
              <a:solidFill>
                <a:srgbClr val="0000ff"/>
              </a:solidFill>
              <a:round/>
            </a:ln>
          </c:spPr>
          <c:marker>
            <c:symbol val="circle"/>
            <c:size val="3"/>
            <c:spPr>
              <a:solidFill>
                <a:srgbClr val="0000ff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'distance declin  RA'!$I$2:$I$32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'distance declin  RA'!$O$2:$O$32</c:f>
              <c:numCache>
                <c:formatCode>General</c:formatCode>
                <c:ptCount val="31"/>
                <c:pt idx="0">
                  <c:v>13.4925933575642</c:v>
                </c:pt>
                <c:pt idx="1">
                  <c:v>13.6532265415544</c:v>
                </c:pt>
                <c:pt idx="2">
                  <c:v>13.693549395668</c:v>
                </c:pt>
                <c:pt idx="3">
                  <c:v>13.6036358059718</c:v>
                </c:pt>
                <c:pt idx="4">
                  <c:v>13.3998212245831</c:v>
                </c:pt>
                <c:pt idx="5">
                  <c:v>13.1148313639314</c:v>
                </c:pt>
                <c:pt idx="6">
                  <c:v>12.7822265444882</c:v>
                </c:pt>
                <c:pt idx="7">
                  <c:v>12.4273605354641</c:v>
                </c:pt>
                <c:pt idx="8">
                  <c:v>12.0665662121643</c:v>
                </c:pt>
                <c:pt idx="9">
                  <c:v>11.710375207895</c:v>
                </c:pt>
                <c:pt idx="10">
                  <c:v>11.3673866627631</c:v>
                </c:pt>
                <c:pt idx="11">
                  <c:v>11.0474643471356</c:v>
                </c:pt>
                <c:pt idx="12">
                  <c:v>10.7638122646641</c:v>
                </c:pt>
                <c:pt idx="13">
                  <c:v>10.5333568490234</c:v>
                </c:pt>
                <c:pt idx="14">
                  <c:v>10.3746251037739</c:v>
                </c:pt>
                <c:pt idx="15">
                  <c:v>10.3029891315664</c:v>
                </c:pt>
                <c:pt idx="16">
                  <c:v>10.3251505185584</c:v>
                </c:pt>
                <c:pt idx="17">
                  <c:v>10.4363793514263</c:v>
                </c:pt>
                <c:pt idx="18">
                  <c:v>10.6226346090576</c:v>
                </c:pt>
                <c:pt idx="19">
                  <c:v>10.8659775252638</c:v>
                </c:pt>
                <c:pt idx="20">
                  <c:v>11.149725456681</c:v>
                </c:pt>
                <c:pt idx="21">
                  <c:v>11.4611172827523</c:v>
                </c:pt>
                <c:pt idx="22">
                  <c:v>11.7914451057457</c:v>
                </c:pt>
                <c:pt idx="23">
                  <c:v>12.1345369863202</c:v>
                </c:pt>
                <c:pt idx="24">
                  <c:v>12.4842285005913</c:v>
                </c:pt>
                <c:pt idx="25">
                  <c:v>12.8309525426879</c:v>
                </c:pt>
                <c:pt idx="26">
                  <c:v>13.1576034740698</c:v>
                </c:pt>
                <c:pt idx="27">
                  <c:v>13.4361693385824</c:v>
                </c:pt>
                <c:pt idx="28">
                  <c:v>13.6294022177116</c:v>
                </c:pt>
                <c:pt idx="29">
                  <c:v>13.7024577350865</c:v>
                </c:pt>
                <c:pt idx="30">
                  <c:v>13.6409442688925</c:v>
                </c:pt>
              </c:numCache>
            </c:numRef>
          </c:yVal>
          <c:smooth val="0"/>
        </c:ser>
        <c:axId val="23470954"/>
        <c:axId val="88891329"/>
      </c:scatterChart>
      <c:valAx>
        <c:axId val="23470954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901176962183996"/>
              <c:y val="0.84545002486325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8891329"/>
        <c:crosses val="autoZero"/>
        <c:crossBetween val="midCat"/>
        <c:majorUnit val="3"/>
      </c:valAx>
      <c:valAx>
        <c:axId val="8889132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hours</a:t>
                </a:r>
              </a:p>
            </c:rich>
          </c:tx>
          <c:layout>
            <c:manualLayout>
              <c:xMode val="edge"/>
              <c:yMode val="edge"/>
              <c:x val="0.129187269308448"/>
              <c:y val="0.13983092988562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3470954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90575589025686"/>
          <c:y val="0.0328998555073914"/>
          <c:w val="0.853446659583776"/>
          <c:h val="0.885183950205624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orbit!$F$2:$F$32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orbit!$H$2:$H$32</c:f>
              <c:numCache>
                <c:formatCode>General</c:formatCode>
                <c:ptCount val="31"/>
                <c:pt idx="0">
                  <c:v>251.57947639492</c:v>
                </c:pt>
                <c:pt idx="1">
                  <c:v>265.573057657448</c:v>
                </c:pt>
                <c:pt idx="2">
                  <c:v>279.674030475907</c:v>
                </c:pt>
                <c:pt idx="3">
                  <c:v>293.862769751099</c:v>
                </c:pt>
                <c:pt idx="4">
                  <c:v>308.110821229503</c:v>
                </c:pt>
                <c:pt idx="5">
                  <c:v>322.375354520684</c:v>
                </c:pt>
                <c:pt idx="6">
                  <c:v>336.597293033886</c:v>
                </c:pt>
                <c:pt idx="7">
                  <c:v>350.704675265324</c:v>
                </c:pt>
                <c:pt idx="8">
                  <c:v>4.62106919314135</c:v>
                </c:pt>
                <c:pt idx="9">
                  <c:v>18.277105227762</c:v>
                </c:pt>
                <c:pt idx="10">
                  <c:v>31.6220685573485</c:v>
                </c:pt>
                <c:pt idx="11">
                  <c:v>44.6324228596143</c:v>
                </c:pt>
                <c:pt idx="12">
                  <c:v>57.3151452053725</c:v>
                </c:pt>
                <c:pt idx="13">
                  <c:v>69.705445719407</c:v>
                </c:pt>
                <c:pt idx="14">
                  <c:v>81.8601784336473</c:v>
                </c:pt>
                <c:pt idx="15">
                  <c:v>93.8493767731956</c:v>
                </c:pt>
                <c:pt idx="16">
                  <c:v>105.748480137638</c:v>
                </c:pt>
                <c:pt idx="17">
                  <c:v>117.632975062265</c:v>
                </c:pt>
                <c:pt idx="18">
                  <c:v>129.575763040524</c:v>
                </c:pt>
                <c:pt idx="19">
                  <c:v>141.646210018675</c:v>
                </c:pt>
                <c:pt idx="20">
                  <c:v>153.909107844903</c:v>
                </c:pt>
                <c:pt idx="21">
                  <c:v>166.421980366643</c:v>
                </c:pt>
                <c:pt idx="22">
                  <c:v>179.230188828809</c:v>
                </c:pt>
                <c:pt idx="23">
                  <c:v>192.36067118198</c:v>
                </c:pt>
                <c:pt idx="24">
                  <c:v>205.816267759778</c:v>
                </c:pt>
                <c:pt idx="25">
                  <c:v>219.572924035865</c:v>
                </c:pt>
                <c:pt idx="26">
                  <c:v>233.581423834797</c:v>
                </c:pt>
                <c:pt idx="27">
                  <c:v>247.773905032934</c:v>
                </c:pt>
                <c:pt idx="28">
                  <c:v>262.073781214146</c:v>
                </c:pt>
                <c:pt idx="29">
                  <c:v>276.406481697268</c:v>
                </c:pt>
                <c:pt idx="30">
                  <c:v>290.708118788149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orbit!$F$2:$F$32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orbit!$K$2:$K$32</c:f>
              <c:numCache>
                <c:formatCode>General</c:formatCode>
                <c:ptCount val="31"/>
                <c:pt idx="0">
                  <c:v>189.717563811462</c:v>
                </c:pt>
                <c:pt idx="1">
                  <c:v>190.703211175343</c:v>
                </c:pt>
                <c:pt idx="2">
                  <c:v>191.688858539224</c:v>
                </c:pt>
                <c:pt idx="3">
                  <c:v>192.674505903105</c:v>
                </c:pt>
                <c:pt idx="4">
                  <c:v>193.660153266988</c:v>
                </c:pt>
                <c:pt idx="5">
                  <c:v>194.645800630871</c:v>
                </c:pt>
                <c:pt idx="6">
                  <c:v>195.631447994752</c:v>
                </c:pt>
                <c:pt idx="7">
                  <c:v>196.617095358637</c:v>
                </c:pt>
                <c:pt idx="8">
                  <c:v>197.60274272252</c:v>
                </c:pt>
                <c:pt idx="9">
                  <c:v>198.588390086406</c:v>
                </c:pt>
                <c:pt idx="10">
                  <c:v>199.574037450289</c:v>
                </c:pt>
                <c:pt idx="11">
                  <c:v>200.559684814176</c:v>
                </c:pt>
                <c:pt idx="12">
                  <c:v>201.545332178061</c:v>
                </c:pt>
                <c:pt idx="13">
                  <c:v>202.530979541949</c:v>
                </c:pt>
                <c:pt idx="14">
                  <c:v>203.516626905834</c:v>
                </c:pt>
                <c:pt idx="15">
                  <c:v>204.50227426972</c:v>
                </c:pt>
                <c:pt idx="16">
                  <c:v>205.487921633607</c:v>
                </c:pt>
                <c:pt idx="17">
                  <c:v>206.473568997493</c:v>
                </c:pt>
                <c:pt idx="18">
                  <c:v>207.459216361383</c:v>
                </c:pt>
                <c:pt idx="19">
                  <c:v>208.444863725274</c:v>
                </c:pt>
                <c:pt idx="20">
                  <c:v>209.430511089164</c:v>
                </c:pt>
                <c:pt idx="21">
                  <c:v>210.416158453054</c:v>
                </c:pt>
                <c:pt idx="22">
                  <c:v>211.401805816944</c:v>
                </c:pt>
                <c:pt idx="23">
                  <c:v>212.387453180836</c:v>
                </c:pt>
                <c:pt idx="24">
                  <c:v>213.373100544726</c:v>
                </c:pt>
                <c:pt idx="25">
                  <c:v>214.358747908616</c:v>
                </c:pt>
                <c:pt idx="26">
                  <c:v>215.344395272508</c:v>
                </c:pt>
                <c:pt idx="27">
                  <c:v>216.330042636402</c:v>
                </c:pt>
                <c:pt idx="28">
                  <c:v>217.315690000296</c:v>
                </c:pt>
                <c:pt idx="29">
                  <c:v>218.301337364186</c:v>
                </c:pt>
                <c:pt idx="30">
                  <c:v>219.286984728082</c:v>
                </c:pt>
              </c:numCache>
            </c:numRef>
          </c:yVal>
          <c:smooth val="0"/>
        </c:ser>
        <c:axId val="64094471"/>
        <c:axId val="83483174"/>
      </c:scatterChart>
      <c:valAx>
        <c:axId val="64094471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774139116305231"/>
              <c:y val="0.841725019450928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3483174"/>
        <c:crosses val="autoZero"/>
        <c:crossBetween val="midCat"/>
        <c:majorUnit val="3"/>
      </c:valAx>
      <c:valAx>
        <c:axId val="83483174"/>
        <c:scaling>
          <c:orientation val="minMax"/>
          <c:max val="360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ff"/>
                    </a:solidFill>
                    <a:latin typeface="Arial"/>
                  </a:defRPr>
                </a:pPr>
                <a:r>
                  <a:rPr b="1" sz="1100" spc="-1" strike="noStrike">
                    <a:solidFill>
                      <a:srgbClr val="0000ff"/>
                    </a:solidFill>
                    <a:latin typeface="Arial"/>
                  </a:rPr>
                  <a:t>Lm</a:t>
                </a:r>
              </a:p>
            </c:rich>
          </c:tx>
          <c:layout>
            <c:manualLayout>
              <c:xMode val="edge"/>
              <c:yMode val="edge"/>
              <c:x val="0.102181113680395"/>
              <c:y val="0.033677892630877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094471"/>
        <c:crosses val="autoZero"/>
        <c:crossBetween val="midCat"/>
        <c:majorUnit val="30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513903326403326"/>
          <c:y val="0.0330351896585493"/>
          <c:w val="0.90897869022869"/>
          <c:h val="0.913755957432918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0000ff"/>
            </a:solidFill>
            <a:ln w="2880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</c:spPr>
          </c:marker>
          <c:dPt>
            <c:idx val="0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</c:dPt>
          <c:dPt>
            <c:idx val="1"/>
            <c:marker>
              <c:symbol val="circle"/>
              <c:size val="5"/>
              <c:spPr>
                <a:solidFill>
                  <a:srgbClr val="00ae00"/>
                </a:solidFill>
              </c:spPr>
            </c:marker>
          </c:dPt>
          <c:dPt>
            <c:idx val="27"/>
            <c:marker>
              <c:symbol val="circle"/>
              <c:size val="6"/>
              <c:spPr>
                <a:solidFill>
                  <a:srgbClr val="000000"/>
                </a:solidFill>
              </c:spPr>
            </c:marker>
          </c:dPt>
          <c:dLbls>
            <c:dLbl>
              <c:idx val="0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27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1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orbit!$I$2:$I$29</c:f>
              <c:numCache>
                <c:formatCode>General</c:formatCode>
                <c:ptCount val="28"/>
                <c:pt idx="0">
                  <c:v>-0.315988908330502</c:v>
                </c:pt>
                <c:pt idx="1">
                  <c:v>-0.0771878663213257</c:v>
                </c:pt>
                <c:pt idx="2">
                  <c:v>0.1680425885281</c:v>
                </c:pt>
                <c:pt idx="3">
                  <c:v>0.404547427824874</c:v>
                </c:pt>
                <c:pt idx="4">
                  <c:v>0.617184489470827</c:v>
                </c:pt>
                <c:pt idx="5">
                  <c:v>0.792027119321819</c:v>
                </c:pt>
                <c:pt idx="6">
                  <c:v>0.917735861220393</c:v>
                </c:pt>
                <c:pt idx="7">
                  <c:v>0.986868899794936</c:v>
                </c:pt>
                <c:pt idx="8">
                  <c:v>0.996749319770112</c:v>
                </c:pt>
                <c:pt idx="9">
                  <c:v>0.949550869821273</c:v>
                </c:pt>
                <c:pt idx="10">
                  <c:v>0.85152504784845</c:v>
                </c:pt>
                <c:pt idx="11">
                  <c:v>0.711628593668348</c:v>
                </c:pt>
                <c:pt idx="12">
                  <c:v>0.540017861948048</c:v>
                </c:pt>
                <c:pt idx="13">
                  <c:v>0.34684650766433</c:v>
                </c:pt>
                <c:pt idx="14">
                  <c:v>0.141589281565291</c:v>
                </c:pt>
                <c:pt idx="15">
                  <c:v>-0.0671337682831466</c:v>
                </c:pt>
                <c:pt idx="16">
                  <c:v>-0.27141491910219</c:v>
                </c:pt>
                <c:pt idx="17">
                  <c:v>-0.463805989267313</c:v>
                </c:pt>
                <c:pt idx="18">
                  <c:v>-0.637097994265842</c:v>
                </c:pt>
                <c:pt idx="19">
                  <c:v>-0.784194168614856</c:v>
                </c:pt>
                <c:pt idx="20">
                  <c:v>-0.898097497972349</c:v>
                </c:pt>
                <c:pt idx="21">
                  <c:v>-0.972051136568173</c:v>
                </c:pt>
                <c:pt idx="22">
                  <c:v>-0.999909741809082</c:v>
                </c:pt>
                <c:pt idx="23">
                  <c:v>-0.976819446291376</c:v>
                </c:pt>
                <c:pt idx="24">
                  <c:v>-0.900195161702641</c:v>
                </c:pt>
                <c:pt idx="25">
                  <c:v>-0.770814380820779</c:v>
                </c:pt>
                <c:pt idx="26">
                  <c:v>-0.593679814250214</c:v>
                </c:pt>
                <c:pt idx="27">
                  <c:v>-0.378262428979756</c:v>
                </c:pt>
              </c:numCache>
            </c:numRef>
          </c:xVal>
          <c:yVal>
            <c:numRef>
              <c:f>orbit!$J$2:$J$29</c:f>
              <c:numCache>
                <c:formatCode>General</c:formatCode>
                <c:ptCount val="28"/>
                <c:pt idx="0">
                  <c:v>-0.948762883871464</c:v>
                </c:pt>
                <c:pt idx="1">
                  <c:v>-0.997016566207784</c:v>
                </c:pt>
                <c:pt idx="2">
                  <c:v>-0.985779736270114</c:v>
                </c:pt>
                <c:pt idx="3">
                  <c:v>-0.914517019327841</c:v>
                </c:pt>
                <c:pt idx="4">
                  <c:v>-0.786818470777495</c:v>
                </c:pt>
                <c:pt idx="5">
                  <c:v>-0.610485906683178</c:v>
                </c:pt>
                <c:pt idx="6">
                  <c:v>-0.397191249941465</c:v>
                </c:pt>
                <c:pt idx="7">
                  <c:v>-0.161523294349557</c:v>
                </c:pt>
                <c:pt idx="8">
                  <c:v>0.0805654611965952</c:v>
                </c:pt>
                <c:pt idx="9">
                  <c:v>0.313613050783389</c:v>
                </c:pt>
                <c:pt idx="10">
                  <c:v>0.524313925894302</c:v>
                </c:pt>
                <c:pt idx="11">
                  <c:v>0.702555865873746</c:v>
                </c:pt>
                <c:pt idx="12">
                  <c:v>0.841653556267102</c:v>
                </c:pt>
                <c:pt idx="13">
                  <c:v>0.937921905129131</c:v>
                </c:pt>
                <c:pt idx="14">
                  <c:v>0.989925489794977</c:v>
                </c:pt>
                <c:pt idx="15">
                  <c:v>0.997743983773445</c:v>
                </c:pt>
                <c:pt idx="16">
                  <c:v>0.962462436507915</c:v>
                </c:pt>
                <c:pt idx="17">
                  <c:v>0.885936794765727</c:v>
                </c:pt>
                <c:pt idx="18">
                  <c:v>0.770782813574902</c:v>
                </c:pt>
                <c:pt idx="19">
                  <c:v>0.620515516252781</c:v>
                </c:pt>
                <c:pt idx="20">
                  <c:v>0.439796412145218</c:v>
                </c:pt>
                <c:pt idx="21">
                  <c:v>0.234769222634748</c:v>
                </c:pt>
                <c:pt idx="22">
                  <c:v>0.013435335324963</c:v>
                </c:pt>
                <c:pt idx="23">
                  <c:v>-0.214064871819293</c:v>
                </c:pt>
                <c:pt idx="24">
                  <c:v>-0.435486705706564</c:v>
                </c:pt>
                <c:pt idx="25">
                  <c:v>-0.637059801211691</c:v>
                </c:pt>
                <c:pt idx="26">
                  <c:v>-0.804701359606054</c:v>
                </c:pt>
                <c:pt idx="27">
                  <c:v>-0.925698403813216</c:v>
                </c:pt>
              </c:numCache>
            </c:numRef>
          </c:yVal>
          <c:smooth val="0"/>
        </c:ser>
        <c:axId val="37038970"/>
        <c:axId val="56526851"/>
      </c:scatterChart>
      <c:valAx>
        <c:axId val="37038970"/>
        <c:scaling>
          <c:orientation val="minMax"/>
          <c:max val="1"/>
          <c:min val="-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numFmt formatCode="0.00" sourceLinked="1"/>
        <c:majorTickMark val="none"/>
        <c:minorTickMark val="none"/>
        <c:tickLblPos val="none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6526851"/>
        <c:crosses val="autoZero"/>
        <c:crossBetween val="midCat"/>
        <c:majorUnit val="0.5"/>
      </c:valAx>
      <c:valAx>
        <c:axId val="56526851"/>
        <c:scaling>
          <c:orientation val="minMax"/>
          <c:max val="1"/>
          <c:min val="-1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0" sourceLinked="1"/>
        <c:majorTickMark val="none"/>
        <c:minorTickMark val="none"/>
        <c:tickLblPos val="none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7038970"/>
        <c:crosses val="autoZero"/>
        <c:crossBetween val="midCat"/>
        <c:majorUnit val="0.5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latin typeface="Arial"/>
              </a:defRPr>
            </a:pPr>
            <a:r>
              <a:rPr b="0" sz="1200" spc="-1" strike="noStrike">
                <a:latin typeface="Arial"/>
              </a:rPr>
              <a:t>longitude Lm and latitude Bm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03624093976506"/>
          <c:y val="0.116884555727897"/>
          <c:w val="0.910459885028743"/>
          <c:h val="0.808220695767782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ff0000"/>
            </a:solidFill>
            <a:ln w="18000">
              <a:solidFill>
                <a:srgbClr val="ff0000"/>
              </a:solidFill>
              <a:round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Pt>
            <c:idx val="0"/>
            <c:marker>
              <c:symbol val="circle"/>
              <c:size val="8"/>
              <c:spPr>
                <a:solidFill>
                  <a:srgbClr val="0000ff"/>
                </a:solidFill>
              </c:spPr>
            </c:marker>
          </c:dPt>
          <c:dPt>
            <c:idx val="27"/>
            <c:marker>
              <c:symbol val="circle"/>
              <c:size val="6"/>
              <c:spPr>
                <a:solidFill>
                  <a:srgbClr val="33cc66"/>
                </a:solidFill>
              </c:spPr>
            </c:marker>
          </c:dPt>
          <c:dLbls>
            <c:dLbl>
              <c:idx val="0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7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  B'!$G$2:$G$29</c:f>
              <c:numCache>
                <c:formatCode>General</c:formatCode>
                <c:ptCount val="28"/>
                <c:pt idx="0">
                  <c:v>251.57947639492</c:v>
                </c:pt>
                <c:pt idx="1">
                  <c:v>265.573057657448</c:v>
                </c:pt>
                <c:pt idx="2">
                  <c:v>279.674030475907</c:v>
                </c:pt>
                <c:pt idx="3">
                  <c:v>293.862769751099</c:v>
                </c:pt>
                <c:pt idx="4">
                  <c:v>308.110821229503</c:v>
                </c:pt>
                <c:pt idx="5">
                  <c:v>322.375354520684</c:v>
                </c:pt>
                <c:pt idx="6">
                  <c:v>336.597293033886</c:v>
                </c:pt>
                <c:pt idx="7">
                  <c:v>350.704675265324</c:v>
                </c:pt>
                <c:pt idx="8">
                  <c:v>4.62106919314135</c:v>
                </c:pt>
                <c:pt idx="9">
                  <c:v>18.277105227762</c:v>
                </c:pt>
                <c:pt idx="10">
                  <c:v>31.6220685573485</c:v>
                </c:pt>
                <c:pt idx="11">
                  <c:v>44.6324228596143</c:v>
                </c:pt>
                <c:pt idx="12">
                  <c:v>57.3151452053725</c:v>
                </c:pt>
                <c:pt idx="13">
                  <c:v>69.705445719407</c:v>
                </c:pt>
                <c:pt idx="14">
                  <c:v>81.8601784336473</c:v>
                </c:pt>
                <c:pt idx="15">
                  <c:v>93.8493767731956</c:v>
                </c:pt>
                <c:pt idx="16">
                  <c:v>105.748480137638</c:v>
                </c:pt>
                <c:pt idx="17">
                  <c:v>117.632975062265</c:v>
                </c:pt>
                <c:pt idx="18">
                  <c:v>129.575763040524</c:v>
                </c:pt>
                <c:pt idx="19">
                  <c:v>141.646210018675</c:v>
                </c:pt>
                <c:pt idx="20">
                  <c:v>153.909107844903</c:v>
                </c:pt>
                <c:pt idx="21">
                  <c:v>166.421980366643</c:v>
                </c:pt>
                <c:pt idx="22">
                  <c:v>179.230188828809</c:v>
                </c:pt>
                <c:pt idx="23">
                  <c:v>192.36067118198</c:v>
                </c:pt>
                <c:pt idx="24">
                  <c:v>205.816267759778</c:v>
                </c:pt>
                <c:pt idx="25">
                  <c:v>219.572924035865</c:v>
                </c:pt>
                <c:pt idx="26">
                  <c:v>233.581423834797</c:v>
                </c:pt>
                <c:pt idx="27">
                  <c:v>247.773905032934</c:v>
                </c:pt>
              </c:numCache>
            </c:numRef>
          </c:xVal>
          <c:yVal>
            <c:numRef>
              <c:f>'L  B'!$I$2:$I$29</c:f>
              <c:numCache>
                <c:formatCode>General</c:formatCode>
                <c:ptCount val="28"/>
                <c:pt idx="0">
                  <c:v>-2.4308103329961</c:v>
                </c:pt>
                <c:pt idx="1">
                  <c:v>-3.47241943770793</c:v>
                </c:pt>
                <c:pt idx="2">
                  <c:v>-4.31189163161484</c:v>
                </c:pt>
                <c:pt idx="3">
                  <c:v>-4.89345979091708</c:v>
                </c:pt>
                <c:pt idx="4">
                  <c:v>-5.17731046224389</c:v>
                </c:pt>
                <c:pt idx="5">
                  <c:v>-5.14340962238135</c:v>
                </c:pt>
                <c:pt idx="6">
                  <c:v>-4.79457675224573</c:v>
                </c:pt>
                <c:pt idx="7">
                  <c:v>-4.15761074534745</c:v>
                </c:pt>
                <c:pt idx="8">
                  <c:v>-3.2811565888454</c:v>
                </c:pt>
                <c:pt idx="9">
                  <c:v>-2.22990818457164</c:v>
                </c:pt>
                <c:pt idx="10">
                  <c:v>-1.0762440743104</c:v>
                </c:pt>
                <c:pt idx="11">
                  <c:v>0.108459902262384</c:v>
                </c:pt>
                <c:pt idx="12">
                  <c:v>1.26054652737502</c:v>
                </c:pt>
                <c:pt idx="13">
                  <c:v>2.32754385636861</c:v>
                </c:pt>
                <c:pt idx="14">
                  <c:v>3.26848842353458</c:v>
                </c:pt>
                <c:pt idx="15">
                  <c:v>4.05219005303252</c:v>
                </c:pt>
                <c:pt idx="16">
                  <c:v>4.65476392803579</c:v>
                </c:pt>
                <c:pt idx="17">
                  <c:v>5.05742708445702</c:v>
                </c:pt>
                <c:pt idx="18">
                  <c:v>5.24506577133416</c:v>
                </c:pt>
                <c:pt idx="19">
                  <c:v>5.20576197949573</c:v>
                </c:pt>
                <c:pt idx="20">
                  <c:v>4.93141294976467</c:v>
                </c:pt>
                <c:pt idx="21">
                  <c:v>4.41963138857495</c:v>
                </c:pt>
                <c:pt idx="22">
                  <c:v>3.67700282776604</c:v>
                </c:pt>
                <c:pt idx="23">
                  <c:v>2.72330466048128</c:v>
                </c:pt>
                <c:pt idx="24">
                  <c:v>1.59552762392545</c:v>
                </c:pt>
                <c:pt idx="25">
                  <c:v>0.349888750256671</c:v>
                </c:pt>
                <c:pt idx="26">
                  <c:v>-0.939936300098635</c:v>
                </c:pt>
                <c:pt idx="27">
                  <c:v>-2.18906381211348</c:v>
                </c:pt>
              </c:numCache>
            </c:numRef>
          </c:yVal>
          <c:smooth val="0"/>
        </c:ser>
        <c:axId val="32291468"/>
        <c:axId val="3159916"/>
      </c:scatterChart>
      <c:valAx>
        <c:axId val="32291468"/>
        <c:scaling>
          <c:orientation val="minMax"/>
          <c:max val="360"/>
          <c:min val="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Lm</a:t>
                </a:r>
              </a:p>
            </c:rich>
          </c:tx>
          <c:layout>
            <c:manualLayout>
              <c:xMode val="edge"/>
              <c:yMode val="edge"/>
              <c:x val="0.90189952511872"/>
              <c:y val="0.44682029692000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59916"/>
        <c:crosses val="autoZero"/>
        <c:crossBetween val="midCat"/>
        <c:majorUnit val="20"/>
      </c:valAx>
      <c:valAx>
        <c:axId val="3159916"/>
        <c:scaling>
          <c:orientation val="minMax"/>
          <c:max val="6"/>
          <c:min val="-6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Bm</a:t>
                </a:r>
              </a:p>
            </c:rich>
          </c:tx>
          <c:layout>
            <c:manualLayout>
              <c:xMode val="edge"/>
              <c:yMode val="edge"/>
              <c:x val="0.0867908022994251"/>
              <c:y val="0.10635940615998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2291468"/>
        <c:crosses val="autoZero"/>
        <c:crossBetween val="midCat"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76298518657416"/>
          <c:y val="0.0356768100734523"/>
          <c:w val="0.837614850928183"/>
          <c:h val="0.903200419727177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  B'!$F$2:$F$29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'L  B'!$G$2:$G$29</c:f>
              <c:numCache>
                <c:formatCode>General</c:formatCode>
                <c:ptCount val="28"/>
                <c:pt idx="0">
                  <c:v>251.57947639492</c:v>
                </c:pt>
                <c:pt idx="1">
                  <c:v>265.573057657448</c:v>
                </c:pt>
                <c:pt idx="2">
                  <c:v>279.674030475907</c:v>
                </c:pt>
                <c:pt idx="3">
                  <c:v>293.862769751099</c:v>
                </c:pt>
                <c:pt idx="4">
                  <c:v>308.110821229503</c:v>
                </c:pt>
                <c:pt idx="5">
                  <c:v>322.375354520684</c:v>
                </c:pt>
                <c:pt idx="6">
                  <c:v>336.597293033886</c:v>
                </c:pt>
                <c:pt idx="7">
                  <c:v>350.704675265324</c:v>
                </c:pt>
                <c:pt idx="8">
                  <c:v>4.62106919314135</c:v>
                </c:pt>
                <c:pt idx="9">
                  <c:v>18.277105227762</c:v>
                </c:pt>
                <c:pt idx="10">
                  <c:v>31.6220685573485</c:v>
                </c:pt>
                <c:pt idx="11">
                  <c:v>44.6324228596143</c:v>
                </c:pt>
                <c:pt idx="12">
                  <c:v>57.3151452053725</c:v>
                </c:pt>
                <c:pt idx="13">
                  <c:v>69.705445719407</c:v>
                </c:pt>
                <c:pt idx="14">
                  <c:v>81.8601784336473</c:v>
                </c:pt>
                <c:pt idx="15">
                  <c:v>93.8493767731956</c:v>
                </c:pt>
                <c:pt idx="16">
                  <c:v>105.748480137638</c:v>
                </c:pt>
                <c:pt idx="17">
                  <c:v>117.632975062265</c:v>
                </c:pt>
                <c:pt idx="18">
                  <c:v>129.575763040524</c:v>
                </c:pt>
                <c:pt idx="19">
                  <c:v>141.646210018675</c:v>
                </c:pt>
                <c:pt idx="20">
                  <c:v>153.909107844903</c:v>
                </c:pt>
                <c:pt idx="21">
                  <c:v>166.421980366643</c:v>
                </c:pt>
                <c:pt idx="22">
                  <c:v>179.230188828809</c:v>
                </c:pt>
                <c:pt idx="23">
                  <c:v>192.36067118198</c:v>
                </c:pt>
                <c:pt idx="24">
                  <c:v>205.816267759778</c:v>
                </c:pt>
                <c:pt idx="25">
                  <c:v>219.572924035865</c:v>
                </c:pt>
                <c:pt idx="26">
                  <c:v>233.581423834797</c:v>
                </c:pt>
                <c:pt idx="27">
                  <c:v>247.773905032934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ff0000"/>
            </a:solidFill>
            <a:ln w="216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  B'!$F$2:$F$29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'L  B'!$J$2:$J$29</c:f>
              <c:numCache>
                <c:formatCode>General</c:formatCode>
                <c:ptCount val="28"/>
                <c:pt idx="0">
                  <c:v>189.717563811462</c:v>
                </c:pt>
                <c:pt idx="1">
                  <c:v>190.703211175343</c:v>
                </c:pt>
                <c:pt idx="2">
                  <c:v>191.688858539224</c:v>
                </c:pt>
                <c:pt idx="3">
                  <c:v>192.674505903105</c:v>
                </c:pt>
                <c:pt idx="4">
                  <c:v>193.660153266988</c:v>
                </c:pt>
                <c:pt idx="5">
                  <c:v>194.645800630871</c:v>
                </c:pt>
                <c:pt idx="6">
                  <c:v>195.631447994752</c:v>
                </c:pt>
                <c:pt idx="7">
                  <c:v>196.617095358637</c:v>
                </c:pt>
                <c:pt idx="8">
                  <c:v>197.60274272252</c:v>
                </c:pt>
                <c:pt idx="9">
                  <c:v>198.588390086406</c:v>
                </c:pt>
                <c:pt idx="10">
                  <c:v>199.574037450289</c:v>
                </c:pt>
                <c:pt idx="11">
                  <c:v>200.559684814176</c:v>
                </c:pt>
                <c:pt idx="12">
                  <c:v>201.545332178061</c:v>
                </c:pt>
                <c:pt idx="13">
                  <c:v>202.530979541949</c:v>
                </c:pt>
                <c:pt idx="14">
                  <c:v>203.516626905834</c:v>
                </c:pt>
                <c:pt idx="15">
                  <c:v>204.50227426972</c:v>
                </c:pt>
                <c:pt idx="16">
                  <c:v>205.487921633607</c:v>
                </c:pt>
                <c:pt idx="17">
                  <c:v>206.473568997493</c:v>
                </c:pt>
                <c:pt idx="18">
                  <c:v>207.459216361383</c:v>
                </c:pt>
                <c:pt idx="19">
                  <c:v>208.444863725274</c:v>
                </c:pt>
                <c:pt idx="20">
                  <c:v>209.430511089164</c:v>
                </c:pt>
                <c:pt idx="21">
                  <c:v>210.416158453054</c:v>
                </c:pt>
                <c:pt idx="22">
                  <c:v>211.401805816944</c:v>
                </c:pt>
                <c:pt idx="23">
                  <c:v>212.387453180836</c:v>
                </c:pt>
                <c:pt idx="24">
                  <c:v>213.373100544726</c:v>
                </c:pt>
                <c:pt idx="25">
                  <c:v>214.358747908616</c:v>
                </c:pt>
                <c:pt idx="26">
                  <c:v>215.344395272508</c:v>
                </c:pt>
                <c:pt idx="27">
                  <c:v>216.330042636402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ff00ff"/>
            </a:solidFill>
            <a:ln w="21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  B'!$F$2:$F$29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'L  B'!$K$2:$K$29</c:f>
              <c:numCache>
                <c:formatCode>General</c:formatCode>
                <c:ptCount val="28"/>
                <c:pt idx="0">
                  <c:v>-24.308103329961</c:v>
                </c:pt>
                <c:pt idx="1">
                  <c:v>-34.7241943770793</c:v>
                </c:pt>
                <c:pt idx="2">
                  <c:v>-43.1189163161484</c:v>
                </c:pt>
                <c:pt idx="3">
                  <c:v>-48.9345979091708</c:v>
                </c:pt>
                <c:pt idx="4">
                  <c:v>-51.7731046224389</c:v>
                </c:pt>
                <c:pt idx="5">
                  <c:v>-51.4340962238135</c:v>
                </c:pt>
                <c:pt idx="6">
                  <c:v>-47.9457675224573</c:v>
                </c:pt>
                <c:pt idx="7">
                  <c:v>-41.5761074534745</c:v>
                </c:pt>
                <c:pt idx="8">
                  <c:v>-32.811565888454</c:v>
                </c:pt>
                <c:pt idx="9">
                  <c:v>-22.2990818457164</c:v>
                </c:pt>
                <c:pt idx="10">
                  <c:v>-10.762440743104</c:v>
                </c:pt>
                <c:pt idx="11">
                  <c:v>1.08459902262384</c:v>
                </c:pt>
                <c:pt idx="12">
                  <c:v>12.6054652737502</c:v>
                </c:pt>
                <c:pt idx="13">
                  <c:v>23.2754385636861</c:v>
                </c:pt>
                <c:pt idx="14">
                  <c:v>32.6848842353458</c:v>
                </c:pt>
                <c:pt idx="15">
                  <c:v>40.5219005303252</c:v>
                </c:pt>
                <c:pt idx="16">
                  <c:v>46.5476392803579</c:v>
                </c:pt>
                <c:pt idx="17">
                  <c:v>50.5742708445702</c:v>
                </c:pt>
                <c:pt idx="18">
                  <c:v>52.4506577133416</c:v>
                </c:pt>
                <c:pt idx="19">
                  <c:v>52.0576197949573</c:v>
                </c:pt>
                <c:pt idx="20">
                  <c:v>49.3141294976467</c:v>
                </c:pt>
                <c:pt idx="21">
                  <c:v>44.1963138857495</c:v>
                </c:pt>
                <c:pt idx="22">
                  <c:v>36.7700282776604</c:v>
                </c:pt>
                <c:pt idx="23">
                  <c:v>27.2330466048128</c:v>
                </c:pt>
                <c:pt idx="24">
                  <c:v>15.9552762392545</c:v>
                </c:pt>
                <c:pt idx="25">
                  <c:v>3.49888750256671</c:v>
                </c:pt>
                <c:pt idx="26">
                  <c:v>-9.39936300098635</c:v>
                </c:pt>
                <c:pt idx="27">
                  <c:v>-21.8906381211348</c:v>
                </c:pt>
              </c:numCache>
            </c:numRef>
          </c:yVal>
          <c:smooth val="0"/>
        </c:ser>
        <c:axId val="53217241"/>
        <c:axId val="59482750"/>
      </c:scatterChart>
      <c:valAx>
        <c:axId val="53217241"/>
        <c:scaling>
          <c:orientation val="minMax"/>
          <c:max val="28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49490593162073"/>
              <c:y val="0.753410283315845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800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9482750"/>
        <c:crosses val="autoZero"/>
        <c:crossBetween val="midCat"/>
        <c:majorUnit val="3"/>
      </c:valAx>
      <c:valAx>
        <c:axId val="59482750"/>
        <c:scaling>
          <c:orientation val="minMax"/>
          <c:max val="360"/>
          <c:min val="-6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ff"/>
                    </a:solidFill>
                    <a:latin typeface="Arial"/>
                  </a:defRPr>
                </a:pPr>
                <a:r>
                  <a:rPr b="1" sz="1100" spc="-1" strike="noStrike">
                    <a:solidFill>
                      <a:srgbClr val="0000ff"/>
                    </a:solidFill>
                    <a:latin typeface="Arial"/>
                  </a:rPr>
                  <a:t>Lm</a:t>
                </a:r>
              </a:p>
            </c:rich>
          </c:tx>
          <c:layout>
            <c:manualLayout>
              <c:xMode val="edge"/>
              <c:yMode val="edge"/>
              <c:x val="0.091818238639915"/>
              <c:y val="0.036463798530954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3217241"/>
        <c:crosses val="autoZero"/>
        <c:crossBetween val="midCat"/>
        <c:majorUnit val="30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501749562609348"/>
          <c:y val="0.0387768668291602"/>
          <c:w val="0.835728567858036"/>
          <c:h val="0.889541325060935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  B'!$F$2:$F$32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'L  B'!$I$2:$I$32</c:f>
              <c:numCache>
                <c:formatCode>General</c:formatCode>
                <c:ptCount val="31"/>
                <c:pt idx="0">
                  <c:v>-2.4308103329961</c:v>
                </c:pt>
                <c:pt idx="1">
                  <c:v>-3.47241943770793</c:v>
                </c:pt>
                <c:pt idx="2">
                  <c:v>-4.31189163161484</c:v>
                </c:pt>
                <c:pt idx="3">
                  <c:v>-4.89345979091708</c:v>
                </c:pt>
                <c:pt idx="4">
                  <c:v>-5.17731046224389</c:v>
                </c:pt>
                <c:pt idx="5">
                  <c:v>-5.14340962238135</c:v>
                </c:pt>
                <c:pt idx="6">
                  <c:v>-4.79457675224573</c:v>
                </c:pt>
                <c:pt idx="7">
                  <c:v>-4.15761074534745</c:v>
                </c:pt>
                <c:pt idx="8">
                  <c:v>-3.2811565888454</c:v>
                </c:pt>
                <c:pt idx="9">
                  <c:v>-2.22990818457164</c:v>
                </c:pt>
                <c:pt idx="10">
                  <c:v>-1.0762440743104</c:v>
                </c:pt>
                <c:pt idx="11">
                  <c:v>0.108459902262384</c:v>
                </c:pt>
                <c:pt idx="12">
                  <c:v>1.26054652737502</c:v>
                </c:pt>
                <c:pt idx="13">
                  <c:v>2.32754385636861</c:v>
                </c:pt>
                <c:pt idx="14">
                  <c:v>3.26848842353458</c:v>
                </c:pt>
                <c:pt idx="15">
                  <c:v>4.05219005303252</c:v>
                </c:pt>
                <c:pt idx="16">
                  <c:v>4.65476392803579</c:v>
                </c:pt>
                <c:pt idx="17">
                  <c:v>5.05742708445702</c:v>
                </c:pt>
                <c:pt idx="18">
                  <c:v>5.24506577133416</c:v>
                </c:pt>
                <c:pt idx="19">
                  <c:v>5.20576197949573</c:v>
                </c:pt>
                <c:pt idx="20">
                  <c:v>4.93141294976467</c:v>
                </c:pt>
                <c:pt idx="21">
                  <c:v>4.41963138857495</c:v>
                </c:pt>
                <c:pt idx="22">
                  <c:v>3.67700282776604</c:v>
                </c:pt>
                <c:pt idx="23">
                  <c:v>2.72330466048128</c:v>
                </c:pt>
                <c:pt idx="24">
                  <c:v>1.59552762392545</c:v>
                </c:pt>
                <c:pt idx="25">
                  <c:v>0.349888750256671</c:v>
                </c:pt>
                <c:pt idx="26">
                  <c:v>-0.939936300098635</c:v>
                </c:pt>
                <c:pt idx="27">
                  <c:v>-2.18906381211348</c:v>
                </c:pt>
                <c:pt idx="28">
                  <c:v>-3.31106006015076</c:v>
                </c:pt>
                <c:pt idx="29">
                  <c:v>-4.22841863332811</c:v>
                </c:pt>
                <c:pt idx="30">
                  <c:v>-4.88099771490685</c:v>
                </c:pt>
              </c:numCache>
            </c:numRef>
          </c:yVal>
          <c:smooth val="0"/>
        </c:ser>
        <c:axId val="33475657"/>
        <c:axId val="29863222"/>
      </c:scatterChart>
      <c:valAx>
        <c:axId val="33475657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778367908022994"/>
              <c:y val="0.376578772435187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9863222"/>
        <c:crosses val="autoZero"/>
        <c:crossBetween val="midCat"/>
        <c:majorUnit val="3"/>
      </c:valAx>
      <c:valAx>
        <c:axId val="2986322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ff"/>
                    </a:solidFill>
                    <a:latin typeface="Arial"/>
                  </a:defRPr>
                </a:pPr>
                <a:r>
                  <a:rPr b="1" sz="1100" spc="-1" strike="noStrike">
                    <a:solidFill>
                      <a:srgbClr val="0000ff"/>
                    </a:solidFill>
                    <a:latin typeface="Arial"/>
                  </a:rPr>
                  <a:t>Bm</a:t>
                </a:r>
              </a:p>
            </c:rich>
          </c:tx>
          <c:layout>
            <c:manualLayout>
              <c:xMode val="edge"/>
              <c:yMode val="edge"/>
              <c:x val="0.0957885528617846"/>
              <c:y val="0.0551739419454908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3475657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latin typeface="Arial"/>
              </a:defRPr>
            </a:pPr>
            <a:r>
              <a:rPr b="0" sz="1200" spc="-1" strike="noStrike">
                <a:latin typeface="Arial"/>
              </a:rPr>
              <a:t>angular velocity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71132216945764"/>
          <c:y val="0.145690228229559"/>
          <c:w val="0.917958010497376"/>
          <c:h val="0.763793485486373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180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  B'!$F$2:$F$32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'L  B'!$H$2:$H$32</c:f>
              <c:numCache>
                <c:formatCode>General</c:formatCode>
                <c:ptCount val="31"/>
                <c:pt idx="1">
                  <c:v>13.9935812625279</c:v>
                </c:pt>
                <c:pt idx="2">
                  <c:v>14.1009728184587</c:v>
                </c:pt>
                <c:pt idx="3">
                  <c:v>14.1887392751923</c:v>
                </c:pt>
                <c:pt idx="4">
                  <c:v>14.2480514784044</c:v>
                </c:pt>
                <c:pt idx="5">
                  <c:v>14.264533291181</c:v>
                </c:pt>
                <c:pt idx="6">
                  <c:v>14.2219385132018</c:v>
                </c:pt>
                <c:pt idx="7">
                  <c:v>14.1073822314375</c:v>
                </c:pt>
                <c:pt idx="8">
                  <c:v>13.9163939278177</c:v>
                </c:pt>
                <c:pt idx="9">
                  <c:v>13.6560360346206</c:v>
                </c:pt>
                <c:pt idx="10">
                  <c:v>13.3449633295866</c:v>
                </c:pt>
                <c:pt idx="11">
                  <c:v>13.0103543022658</c:v>
                </c:pt>
                <c:pt idx="12">
                  <c:v>12.6827223457582</c:v>
                </c:pt>
                <c:pt idx="13">
                  <c:v>12.3903005140345</c:v>
                </c:pt>
                <c:pt idx="14">
                  <c:v>12.1547327142403</c:v>
                </c:pt>
                <c:pt idx="15">
                  <c:v>11.9891983395483</c:v>
                </c:pt>
                <c:pt idx="16">
                  <c:v>11.899103364442</c:v>
                </c:pt>
                <c:pt idx="17">
                  <c:v>11.8844949246276</c:v>
                </c:pt>
                <c:pt idx="18">
                  <c:v>11.942787978259</c:v>
                </c:pt>
                <c:pt idx="19">
                  <c:v>12.0704469781503</c:v>
                </c:pt>
                <c:pt idx="20">
                  <c:v>12.2628978262282</c:v>
                </c:pt>
                <c:pt idx="21">
                  <c:v>12.5128725217398</c:v>
                </c:pt>
                <c:pt idx="22">
                  <c:v>12.8082084621669</c:v>
                </c:pt>
                <c:pt idx="23">
                  <c:v>13.1304823531704</c:v>
                </c:pt>
                <c:pt idx="24">
                  <c:v>13.4555965777981</c:v>
                </c:pt>
                <c:pt idx="25">
                  <c:v>13.7566562760867</c:v>
                </c:pt>
                <c:pt idx="26">
                  <c:v>14.0084997989329</c:v>
                </c:pt>
                <c:pt idx="27">
                  <c:v>14.1924811981368</c:v>
                </c:pt>
                <c:pt idx="28">
                  <c:v>14.2998761812113</c:v>
                </c:pt>
                <c:pt idx="29">
                  <c:v>14.3327004831226</c:v>
                </c:pt>
                <c:pt idx="30">
                  <c:v>14.3016370908807</c:v>
                </c:pt>
              </c:numCache>
            </c:numRef>
          </c:yVal>
          <c:smooth val="0"/>
        </c:ser>
        <c:axId val="75735646"/>
        <c:axId val="53008078"/>
      </c:scatterChart>
      <c:valAx>
        <c:axId val="75735646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83091727068233"/>
              <c:y val="0.811987591402615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3008078"/>
        <c:crosses val="autoZero"/>
        <c:crossBetween val="midCat"/>
        <c:majorUnit val="3"/>
      </c:valAx>
      <c:valAx>
        <c:axId val="53008078"/>
        <c:scaling>
          <c:orientation val="minMax"/>
          <c:max val="16"/>
          <c:min val="1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° per day</a:t>
                </a:r>
              </a:p>
            </c:rich>
          </c:tx>
          <c:layout>
            <c:manualLayout>
              <c:xMode val="edge"/>
              <c:yMode val="edge"/>
              <c:x val="0.072606848287928"/>
              <c:y val="0.169288721471305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5735646"/>
        <c:crosses val="autoZero"/>
        <c:crossBetween val="midCat"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843599524732662"/>
          <c:y val="0.0418508694370763"/>
          <c:w val="0.829591645300482"/>
          <c:h val="0.914628156007466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180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'sol ecl'!$F$2:$F$32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'sol ecl'!$G$2:$G$32</c:f>
              <c:numCache>
                <c:formatCode>General</c:formatCode>
                <c:ptCount val="31"/>
                <c:pt idx="0">
                  <c:v>251.57947639492</c:v>
                </c:pt>
                <c:pt idx="1">
                  <c:v>265.573057657448</c:v>
                </c:pt>
                <c:pt idx="2">
                  <c:v>279.674030475907</c:v>
                </c:pt>
                <c:pt idx="3">
                  <c:v>293.862769751099</c:v>
                </c:pt>
                <c:pt idx="4">
                  <c:v>308.110821229503</c:v>
                </c:pt>
                <c:pt idx="5">
                  <c:v>322.375354520684</c:v>
                </c:pt>
                <c:pt idx="6">
                  <c:v>336.597293033886</c:v>
                </c:pt>
                <c:pt idx="7">
                  <c:v>350.704675265324</c:v>
                </c:pt>
                <c:pt idx="8">
                  <c:v>4.62106919314135</c:v>
                </c:pt>
                <c:pt idx="9">
                  <c:v>18.277105227762</c:v>
                </c:pt>
                <c:pt idx="10">
                  <c:v>31.6220685573485</c:v>
                </c:pt>
                <c:pt idx="11">
                  <c:v>44.6324228596143</c:v>
                </c:pt>
                <c:pt idx="12">
                  <c:v>57.3151452053725</c:v>
                </c:pt>
                <c:pt idx="13">
                  <c:v>69.705445719407</c:v>
                </c:pt>
                <c:pt idx="14">
                  <c:v>81.8601784336473</c:v>
                </c:pt>
                <c:pt idx="15">
                  <c:v>93.8493767731956</c:v>
                </c:pt>
                <c:pt idx="16">
                  <c:v>105.748480137638</c:v>
                </c:pt>
                <c:pt idx="17">
                  <c:v>117.632975062265</c:v>
                </c:pt>
                <c:pt idx="18">
                  <c:v>129.575763040524</c:v>
                </c:pt>
                <c:pt idx="19">
                  <c:v>141.646210018675</c:v>
                </c:pt>
                <c:pt idx="20">
                  <c:v>153.909107844903</c:v>
                </c:pt>
                <c:pt idx="21">
                  <c:v>166.421980366643</c:v>
                </c:pt>
                <c:pt idx="22">
                  <c:v>179.230188828809</c:v>
                </c:pt>
                <c:pt idx="23">
                  <c:v>192.36067118198</c:v>
                </c:pt>
                <c:pt idx="24">
                  <c:v>205.816267759778</c:v>
                </c:pt>
                <c:pt idx="25">
                  <c:v>219.572924035865</c:v>
                </c:pt>
                <c:pt idx="26">
                  <c:v>233.581423834797</c:v>
                </c:pt>
                <c:pt idx="27">
                  <c:v>247.773905032934</c:v>
                </c:pt>
                <c:pt idx="28">
                  <c:v>262.073781214146</c:v>
                </c:pt>
                <c:pt idx="29">
                  <c:v>276.406481697268</c:v>
                </c:pt>
                <c:pt idx="30">
                  <c:v>290.708118788149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000000"/>
            </a:solidFill>
            <a:ln w="180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'sol ecl'!$F$2:$F$32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'sol ecl'!$N$2:$N$32</c:f>
              <c:numCache>
                <c:formatCode>General</c:formatCode>
                <c:ptCount val="31"/>
                <c:pt idx="0">
                  <c:v>-24.308103329961</c:v>
                </c:pt>
                <c:pt idx="1">
                  <c:v>-34.7241943770793</c:v>
                </c:pt>
                <c:pt idx="2">
                  <c:v>-43.1189163161484</c:v>
                </c:pt>
                <c:pt idx="3">
                  <c:v>-48.9345979091708</c:v>
                </c:pt>
                <c:pt idx="4">
                  <c:v>-51.7731046224389</c:v>
                </c:pt>
                <c:pt idx="5">
                  <c:v>-51.4340962238135</c:v>
                </c:pt>
                <c:pt idx="6">
                  <c:v>-47.9457675224573</c:v>
                </c:pt>
                <c:pt idx="7">
                  <c:v>-41.5761074534745</c:v>
                </c:pt>
                <c:pt idx="8">
                  <c:v>-32.811565888454</c:v>
                </c:pt>
                <c:pt idx="9">
                  <c:v>-22.2990818457164</c:v>
                </c:pt>
                <c:pt idx="10">
                  <c:v>-10.762440743104</c:v>
                </c:pt>
                <c:pt idx="11">
                  <c:v>1.08459902262384</c:v>
                </c:pt>
                <c:pt idx="12">
                  <c:v>12.6054652737502</c:v>
                </c:pt>
                <c:pt idx="13">
                  <c:v>23.2754385636861</c:v>
                </c:pt>
                <c:pt idx="14">
                  <c:v>32.6848842353458</c:v>
                </c:pt>
                <c:pt idx="15">
                  <c:v>40.5219005303252</c:v>
                </c:pt>
                <c:pt idx="16">
                  <c:v>46.5476392803579</c:v>
                </c:pt>
                <c:pt idx="17">
                  <c:v>50.5742708445702</c:v>
                </c:pt>
                <c:pt idx="18">
                  <c:v>52.4506577133416</c:v>
                </c:pt>
                <c:pt idx="19">
                  <c:v>52.0576197949573</c:v>
                </c:pt>
                <c:pt idx="20">
                  <c:v>49.3141294976467</c:v>
                </c:pt>
                <c:pt idx="21">
                  <c:v>44.1963138857495</c:v>
                </c:pt>
                <c:pt idx="22">
                  <c:v>36.7700282776604</c:v>
                </c:pt>
                <c:pt idx="23">
                  <c:v>27.2330466048128</c:v>
                </c:pt>
                <c:pt idx="24">
                  <c:v>15.9552762392545</c:v>
                </c:pt>
                <c:pt idx="25">
                  <c:v>3.49888750256671</c:v>
                </c:pt>
                <c:pt idx="26">
                  <c:v>-9.39936300098635</c:v>
                </c:pt>
                <c:pt idx="27">
                  <c:v>-21.8906381211348</c:v>
                </c:pt>
                <c:pt idx="28">
                  <c:v>-33.1106006015076</c:v>
                </c:pt>
                <c:pt idx="29">
                  <c:v>-42.2841863332811</c:v>
                </c:pt>
                <c:pt idx="30">
                  <c:v>-48.8099771490684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ff420e"/>
            </a:solidFill>
            <a:ln w="180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'sol ecl'!$F$2:$F$32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'sol ecl'!$H$2:$H$32</c:f>
              <c:numCache>
                <c:formatCode>General</c:formatCode>
                <c:ptCount val="31"/>
                <c:pt idx="0">
                  <c:v>189.717563811462</c:v>
                </c:pt>
                <c:pt idx="1">
                  <c:v>190.703211175343</c:v>
                </c:pt>
                <c:pt idx="2">
                  <c:v>191.688858539224</c:v>
                </c:pt>
                <c:pt idx="3">
                  <c:v>192.674505903105</c:v>
                </c:pt>
                <c:pt idx="4">
                  <c:v>193.660153266988</c:v>
                </c:pt>
                <c:pt idx="5">
                  <c:v>194.645800630871</c:v>
                </c:pt>
                <c:pt idx="6">
                  <c:v>195.631447994752</c:v>
                </c:pt>
                <c:pt idx="7">
                  <c:v>196.617095358637</c:v>
                </c:pt>
                <c:pt idx="8">
                  <c:v>197.60274272252</c:v>
                </c:pt>
                <c:pt idx="9">
                  <c:v>198.588390086406</c:v>
                </c:pt>
                <c:pt idx="10">
                  <c:v>199.574037450289</c:v>
                </c:pt>
                <c:pt idx="11">
                  <c:v>200.559684814176</c:v>
                </c:pt>
                <c:pt idx="12">
                  <c:v>201.545332178061</c:v>
                </c:pt>
                <c:pt idx="13">
                  <c:v>202.530979541949</c:v>
                </c:pt>
                <c:pt idx="14">
                  <c:v>203.516626905834</c:v>
                </c:pt>
                <c:pt idx="15">
                  <c:v>204.50227426972</c:v>
                </c:pt>
                <c:pt idx="16">
                  <c:v>205.487921633607</c:v>
                </c:pt>
                <c:pt idx="17">
                  <c:v>206.473568997493</c:v>
                </c:pt>
                <c:pt idx="18">
                  <c:v>207.459216361383</c:v>
                </c:pt>
                <c:pt idx="19">
                  <c:v>208.444863725274</c:v>
                </c:pt>
                <c:pt idx="20">
                  <c:v>209.430511089164</c:v>
                </c:pt>
                <c:pt idx="21">
                  <c:v>210.416158453054</c:v>
                </c:pt>
                <c:pt idx="22">
                  <c:v>211.401805816944</c:v>
                </c:pt>
                <c:pt idx="23">
                  <c:v>212.387453180836</c:v>
                </c:pt>
                <c:pt idx="24">
                  <c:v>213.373100544726</c:v>
                </c:pt>
                <c:pt idx="25">
                  <c:v>214.358747908616</c:v>
                </c:pt>
                <c:pt idx="26">
                  <c:v>215.344395272508</c:v>
                </c:pt>
                <c:pt idx="27">
                  <c:v>216.330042636402</c:v>
                </c:pt>
                <c:pt idx="28">
                  <c:v>217.315690000296</c:v>
                </c:pt>
                <c:pt idx="29">
                  <c:v>218.301337364186</c:v>
                </c:pt>
                <c:pt idx="30">
                  <c:v>219.286984728082</c:v>
                </c:pt>
              </c:numCache>
            </c:numRef>
          </c:yVal>
          <c:smooth val="0"/>
        </c:ser>
        <c:axId val="86350826"/>
        <c:axId val="79471256"/>
      </c:scatterChart>
      <c:valAx>
        <c:axId val="86350826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765743230567194"/>
              <c:y val="0.745063365753021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9471256"/>
        <c:crosses val="autoZero"/>
        <c:crossBetween val="midCat"/>
        <c:majorUnit val="3"/>
      </c:valAx>
      <c:valAx>
        <c:axId val="79471256"/>
        <c:scaling>
          <c:orientation val="minMax"/>
          <c:max val="360"/>
          <c:min val="-6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solidFill>
                      <a:srgbClr val="0000ff"/>
                    </a:solidFill>
                    <a:latin typeface="Arial"/>
                  </a:defRPr>
                </a:pPr>
                <a:r>
                  <a:rPr b="1" sz="1200" spc="-1" strike="noStrike">
                    <a:solidFill>
                      <a:srgbClr val="0000ff"/>
                    </a:solidFill>
                    <a:latin typeface="Arial"/>
                  </a:rPr>
                  <a:t>Lm</a:t>
                </a:r>
              </a:p>
            </c:rich>
          </c:tx>
          <c:layout>
            <c:manualLayout>
              <c:xMode val="edge"/>
              <c:yMode val="edge"/>
              <c:x val="0.125383027953224"/>
              <c:y val="0.041949110914628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350826"/>
        <c:crosses val="autoZero"/>
        <c:crossBetween val="midCat"/>
        <c:majorUnit val="30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27319190646223"/>
          <c:y val="0.0507197732527784"/>
          <c:w val="0.83994959042218"/>
          <c:h val="0.894831058402327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ff0000"/>
            </a:solidFill>
            <a:ln w="28800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</c:spPr>
          </c:marker>
          <c:dPt>
            <c:idx val="0"/>
            <c:marker>
              <c:symbol val="circle"/>
              <c:size val="10"/>
              <c:spPr>
                <a:solidFill>
                  <a:srgbClr val="ff0000"/>
                </a:solidFill>
              </c:spPr>
            </c:marker>
          </c:dPt>
          <c:dLbls>
            <c:dLbl>
              <c:idx val="0"/>
              <c:txPr>
                <a:bodyPr wrap="none"/>
                <a:lstStyle/>
                <a:p>
                  <a:pPr>
                    <a:defRPr b="0" sz="900" spc="-1" strike="noStrike">
                      <a:solidFill>
                        <a:srgbClr val="ff0000"/>
                      </a:solidFill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900" spc="-1" strike="noStrike">
                    <a:solidFill>
                      <a:srgbClr val="ff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1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'lun ecl'!$P$2:$P$32</c:f>
              <c:numCache>
                <c:formatCode>General</c:formatCode>
                <c:ptCount val="31"/>
                <c:pt idx="0">
                  <c:v>-1.18278212756827</c:v>
                </c:pt>
                <c:pt idx="5">
                  <c:v>-1.16100883702075</c:v>
                </c:pt>
                <c:pt idx="10">
                  <c:v>-1.13065123187837</c:v>
                </c:pt>
                <c:pt idx="15">
                  <c:v>-1.0919337714428</c:v>
                </c:pt>
                <c:pt idx="20">
                  <c:v>-1.04514272645551</c:v>
                </c:pt>
                <c:pt idx="25">
                  <c:v>-0.990624062457464</c:v>
                </c:pt>
              </c:numCache>
            </c:numRef>
          </c:xVal>
          <c:yVal>
            <c:numRef>
              <c:f>'lun ecl'!$Q$2:$Q$32</c:f>
              <c:numCache>
                <c:formatCode>General</c:formatCode>
                <c:ptCount val="31"/>
                <c:pt idx="0">
                  <c:v>-0.202549842520491</c:v>
                </c:pt>
                <c:pt idx="5">
                  <c:v>-0.303411404465498</c:v>
                </c:pt>
                <c:pt idx="10">
                  <c:v>-0.402029590766565</c:v>
                </c:pt>
                <c:pt idx="15">
                  <c:v>-0.497675234246901</c:v>
                </c:pt>
                <c:pt idx="20">
                  <c:v>-0.589641146238246</c:v>
                </c:pt>
                <c:pt idx="25">
                  <c:v>-0.677247345421355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0000ff"/>
            </a:solidFill>
            <a:ln w="28800">
              <a:noFill/>
            </a:ln>
          </c:spPr>
          <c:marker>
            <c:symbol val="circle"/>
            <c:size val="8"/>
            <c:spPr>
              <a:solidFill>
                <a:srgbClr val="0000ff"/>
              </a:solidFill>
            </c:spPr>
          </c:marker>
          <c:dPt>
            <c:idx val="0"/>
            <c:marker>
              <c:symbol val="circle"/>
              <c:size val="10"/>
              <c:spPr>
                <a:solidFill>
                  <a:srgbClr val="00ae00"/>
                </a:solidFill>
              </c:spPr>
            </c:marker>
          </c:dPt>
          <c:dPt>
            <c:idx val="1"/>
            <c:marker>
              <c:symbol val="circle"/>
              <c:size val="8"/>
              <c:spPr>
                <a:solidFill>
                  <a:srgbClr val="ff00ff"/>
                </a:solidFill>
              </c:spPr>
            </c:marker>
          </c:dPt>
          <c:dPt>
            <c:idx val="27"/>
            <c:marker>
              <c:symbol val="circle"/>
              <c:size val="8"/>
              <c:spPr>
                <a:solidFill>
                  <a:srgbClr val="000000"/>
                </a:solidFill>
              </c:spPr>
            </c:marker>
          </c:dPt>
          <c:dLbls>
            <c:dLbl>
              <c:idx val="0"/>
              <c:txPr>
                <a:bodyPr wrap="none"/>
                <a:lstStyle/>
                <a:p>
                  <a:pPr>
                    <a:defRPr b="0" sz="900" spc="-1" strike="noStrike">
                      <a:solidFill>
                        <a:srgbClr val="0000ff"/>
                      </a:solidFill>
                      <a:latin typeface="Arial"/>
                    </a:defRPr>
                  </a:pPr>
                </a:p>
              </c:txPr>
              <c:dLblPos val="b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1"/>
              <c:txPr>
                <a:bodyPr wrap="none"/>
                <a:lstStyle/>
                <a:p>
                  <a:pPr>
                    <a:defRPr b="0" sz="900" spc="-1" strike="noStrike">
                      <a:solidFill>
                        <a:srgbClr val="0000ff"/>
                      </a:solidFill>
                      <a:latin typeface="Arial"/>
                    </a:defRPr>
                  </a:pPr>
                </a:p>
              </c:txPr>
              <c:dLblPos val="b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27"/>
              <c:txPr>
                <a:bodyPr wrap="none"/>
                <a:lstStyle/>
                <a:p>
                  <a:pPr>
                    <a:defRPr b="0" sz="900" spc="-1" strike="noStrike">
                      <a:solidFill>
                        <a:srgbClr val="0000ff"/>
                      </a:solidFill>
                      <a:latin typeface="Arial"/>
                    </a:defRPr>
                  </a:pPr>
                </a:p>
              </c:txPr>
              <c:dLblPos val="b"/>
              <c:showLegendKey val="0"/>
              <c:showVal val="0"/>
              <c:showCatName val="1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900" spc="-1" strike="noStrike">
                    <a:solidFill>
                      <a:srgbClr val="0000ff"/>
                    </a:solidFill>
                    <a:latin typeface="Arial"/>
                  </a:defRPr>
                </a:pPr>
              </a:p>
            </c:txPr>
            <c:dLblPos val="b"/>
            <c:showLegendKey val="0"/>
            <c:showVal val="0"/>
            <c:showCatName val="1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'lun ecl'!$R$2:$R$32</c:f>
              <c:numCache>
                <c:formatCode>General</c:formatCode>
                <c:ptCount val="31"/>
                <c:pt idx="0">
                  <c:v>-0.315988908330502</c:v>
                </c:pt>
                <c:pt idx="1">
                  <c:v>-0.0771878663213257</c:v>
                </c:pt>
                <c:pt idx="2">
                  <c:v>0.1680425885281</c:v>
                </c:pt>
                <c:pt idx="3">
                  <c:v>0.404547427824874</c:v>
                </c:pt>
                <c:pt idx="4">
                  <c:v>0.617184489470827</c:v>
                </c:pt>
                <c:pt idx="5">
                  <c:v>0.792027119321819</c:v>
                </c:pt>
                <c:pt idx="6">
                  <c:v>0.917735861220393</c:v>
                </c:pt>
                <c:pt idx="7">
                  <c:v>0.986868899794936</c:v>
                </c:pt>
                <c:pt idx="8">
                  <c:v>0.996749319770112</c:v>
                </c:pt>
                <c:pt idx="9">
                  <c:v>0.949550869821273</c:v>
                </c:pt>
                <c:pt idx="10">
                  <c:v>0.85152504784845</c:v>
                </c:pt>
                <c:pt idx="11">
                  <c:v>0.711628593668348</c:v>
                </c:pt>
                <c:pt idx="12">
                  <c:v>0.540017861948048</c:v>
                </c:pt>
                <c:pt idx="13">
                  <c:v>0.34684650766433</c:v>
                </c:pt>
                <c:pt idx="14">
                  <c:v>0.141589281565291</c:v>
                </c:pt>
                <c:pt idx="15">
                  <c:v>-0.0671337682831466</c:v>
                </c:pt>
                <c:pt idx="16">
                  <c:v>-0.27141491910219</c:v>
                </c:pt>
                <c:pt idx="17">
                  <c:v>-0.463805989267313</c:v>
                </c:pt>
                <c:pt idx="18">
                  <c:v>-0.637097994265842</c:v>
                </c:pt>
                <c:pt idx="19">
                  <c:v>-0.784194168614856</c:v>
                </c:pt>
                <c:pt idx="20">
                  <c:v>-0.898097497972349</c:v>
                </c:pt>
                <c:pt idx="21">
                  <c:v>-0.972051136568173</c:v>
                </c:pt>
                <c:pt idx="22">
                  <c:v>-0.999909741809082</c:v>
                </c:pt>
                <c:pt idx="23">
                  <c:v>-0.976819446291376</c:v>
                </c:pt>
                <c:pt idx="24">
                  <c:v>-0.900195161702641</c:v>
                </c:pt>
                <c:pt idx="25">
                  <c:v>-0.770814380820779</c:v>
                </c:pt>
                <c:pt idx="26">
                  <c:v>-0.593679814250214</c:v>
                </c:pt>
                <c:pt idx="27">
                  <c:v>-0.378262428979756</c:v>
                </c:pt>
              </c:numCache>
            </c:numRef>
          </c:xVal>
          <c:yVal>
            <c:numRef>
              <c:f>'lun ecl'!$S$2:$S$32</c:f>
              <c:numCache>
                <c:formatCode>General</c:formatCode>
                <c:ptCount val="31"/>
                <c:pt idx="0">
                  <c:v>-0.948762883871464</c:v>
                </c:pt>
                <c:pt idx="1">
                  <c:v>-0.997016566207784</c:v>
                </c:pt>
                <c:pt idx="2">
                  <c:v>-0.985779736270114</c:v>
                </c:pt>
                <c:pt idx="3">
                  <c:v>-0.914517019327841</c:v>
                </c:pt>
                <c:pt idx="4">
                  <c:v>-0.786818470777495</c:v>
                </c:pt>
                <c:pt idx="5">
                  <c:v>-0.610485906683178</c:v>
                </c:pt>
                <c:pt idx="6">
                  <c:v>-0.397191249941465</c:v>
                </c:pt>
                <c:pt idx="7">
                  <c:v>-0.161523294349557</c:v>
                </c:pt>
                <c:pt idx="8">
                  <c:v>0.0805654611965952</c:v>
                </c:pt>
                <c:pt idx="9">
                  <c:v>0.313613050783389</c:v>
                </c:pt>
                <c:pt idx="10">
                  <c:v>0.524313925894302</c:v>
                </c:pt>
                <c:pt idx="11">
                  <c:v>0.702555865873746</c:v>
                </c:pt>
                <c:pt idx="12">
                  <c:v>0.841653556267102</c:v>
                </c:pt>
                <c:pt idx="13">
                  <c:v>0.937921905129131</c:v>
                </c:pt>
                <c:pt idx="14">
                  <c:v>0.989925489794977</c:v>
                </c:pt>
                <c:pt idx="15">
                  <c:v>0.997743983773445</c:v>
                </c:pt>
                <c:pt idx="16">
                  <c:v>0.962462436507915</c:v>
                </c:pt>
                <c:pt idx="17">
                  <c:v>0.885936794765727</c:v>
                </c:pt>
                <c:pt idx="18">
                  <c:v>0.770782813574902</c:v>
                </c:pt>
                <c:pt idx="19">
                  <c:v>0.62051551625278</c:v>
                </c:pt>
                <c:pt idx="20">
                  <c:v>0.439796412145218</c:v>
                </c:pt>
                <c:pt idx="21">
                  <c:v>0.234769222634748</c:v>
                </c:pt>
                <c:pt idx="22">
                  <c:v>0.013435335324963</c:v>
                </c:pt>
                <c:pt idx="23">
                  <c:v>-0.214064871819293</c:v>
                </c:pt>
                <c:pt idx="24">
                  <c:v>-0.435486705706565</c:v>
                </c:pt>
                <c:pt idx="25">
                  <c:v>-0.637059801211691</c:v>
                </c:pt>
                <c:pt idx="26">
                  <c:v>-0.804701359606054</c:v>
                </c:pt>
                <c:pt idx="27">
                  <c:v>-0.925698403813216</c:v>
                </c:pt>
              </c:numCache>
            </c:numRef>
          </c:yVal>
          <c:smooth val="0"/>
        </c:ser>
        <c:axId val="38340069"/>
        <c:axId val="17922427"/>
      </c:scatterChart>
      <c:valAx>
        <c:axId val="38340069"/>
        <c:scaling>
          <c:orientation val="minMax"/>
          <c:max val="1.1"/>
          <c:min val="-1.1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ff0000"/>
                    </a:solidFill>
                    <a:latin typeface="Arial"/>
                  </a:defRPr>
                </a:pPr>
                <a:r>
                  <a:rPr b="1" sz="1100" spc="-1" strike="noStrike">
                    <a:solidFill>
                      <a:srgbClr val="ff0000"/>
                    </a:solidFill>
                    <a:latin typeface="Arial"/>
                  </a:rPr>
                  <a:t>Sun</a:t>
                </a:r>
              </a:p>
            </c:rich>
          </c:tx>
          <c:layout>
            <c:manualLayout>
              <c:xMode val="edge"/>
              <c:yMode val="edge"/>
              <c:x val="0.822376251487783"/>
              <c:y val="0.866189304094876"/>
            </c:manualLayout>
          </c:layout>
          <c:overlay val="0"/>
          <c:spPr>
            <a:noFill/>
            <a:ln w="0">
              <a:noFill/>
            </a:ln>
          </c:spPr>
        </c:title>
        <c:numFmt formatCode="0.000" sourceLinked="1"/>
        <c:majorTickMark val="none"/>
        <c:minorTickMark val="none"/>
        <c:tickLblPos val="none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7922427"/>
        <c:crosses val="autoZero"/>
        <c:crossBetween val="midCat"/>
        <c:majorUnit val="0.5"/>
      </c:valAx>
      <c:valAx>
        <c:axId val="17922427"/>
        <c:scaling>
          <c:orientation val="minMax"/>
          <c:max val="1.1"/>
          <c:min val="-1.1"/>
        </c:scaling>
        <c:delete val="0"/>
        <c:axPos val="l"/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ff"/>
                    </a:solidFill>
                    <a:latin typeface="Arial"/>
                  </a:defRPr>
                </a:pPr>
                <a:r>
                  <a:rPr b="1" sz="1100" spc="-1" strike="noStrike">
                    <a:solidFill>
                      <a:srgbClr val="0000ff"/>
                    </a:solidFill>
                    <a:latin typeface="Arial"/>
                  </a:rPr>
                  <a:t>Moon</a:t>
                </a:r>
              </a:p>
            </c:rich>
          </c:tx>
          <c:layout>
            <c:manualLayout>
              <c:xMode val="edge"/>
              <c:yMode val="edge"/>
              <c:x val="0.0864664286214381"/>
              <c:y val="0.0829417468486612"/>
            </c:manualLayout>
          </c:layout>
          <c:overlay val="0"/>
          <c:spPr>
            <a:noFill/>
            <a:ln w="0">
              <a:noFill/>
            </a:ln>
          </c:spPr>
        </c:title>
        <c:numFmt formatCode="0.000" sourceLinked="1"/>
        <c:majorTickMark val="none"/>
        <c:minorTickMark val="none"/>
        <c:tickLblPos val="none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8340069"/>
        <c:crosses val="autoZero"/>
        <c:crossBetween val="midCat"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926058865757358"/>
          <c:y val="0.0488250891469324"/>
          <c:w val="0.864082316343623"/>
          <c:h val="0.857090609856451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ff00ff"/>
            </a:solidFill>
            <a:ln w="180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'lun ecl'!$F$2:$F$32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'lun ecl'!$I$2:$I$32</c:f>
              <c:numCache>
                <c:formatCode>General</c:formatCode>
                <c:ptCount val="31"/>
                <c:pt idx="0">
                  <c:v>-241.861912583458</c:v>
                </c:pt>
                <c:pt idx="1">
                  <c:v>-254.869846482105</c:v>
                </c:pt>
                <c:pt idx="2">
                  <c:v>-267.985171936682</c:v>
                </c:pt>
                <c:pt idx="3">
                  <c:v>-281.188263847994</c:v>
                </c:pt>
                <c:pt idx="4">
                  <c:v>-294.450667962515</c:v>
                </c:pt>
                <c:pt idx="5">
                  <c:v>-307.729553889813</c:v>
                </c:pt>
                <c:pt idx="6">
                  <c:v>-320.965845039134</c:v>
                </c:pt>
                <c:pt idx="7">
                  <c:v>-334.087579906687</c:v>
                </c:pt>
                <c:pt idx="8">
                  <c:v>12.9816735293786</c:v>
                </c:pt>
                <c:pt idx="9">
                  <c:v>0.311284858644449</c:v>
                </c:pt>
                <c:pt idx="10">
                  <c:v>-12.0480311070592</c:v>
                </c:pt>
                <c:pt idx="11">
                  <c:v>-24.0727380454385</c:v>
                </c:pt>
                <c:pt idx="12">
                  <c:v>-35.769813027312</c:v>
                </c:pt>
                <c:pt idx="13">
                  <c:v>-47.1744661774581</c:v>
                </c:pt>
                <c:pt idx="14">
                  <c:v>-58.3435515278136</c:v>
                </c:pt>
                <c:pt idx="15">
                  <c:v>-69.3471025034754</c:v>
                </c:pt>
                <c:pt idx="16">
                  <c:v>-80.2605585040309</c:v>
                </c:pt>
                <c:pt idx="17">
                  <c:v>-91.159406064772</c:v>
                </c:pt>
                <c:pt idx="18">
                  <c:v>-102.116546679141</c:v>
                </c:pt>
                <c:pt idx="19">
                  <c:v>-113.201346293401</c:v>
                </c:pt>
                <c:pt idx="20">
                  <c:v>-124.478596755739</c:v>
                </c:pt>
                <c:pt idx="21">
                  <c:v>-136.005821913589</c:v>
                </c:pt>
                <c:pt idx="22">
                  <c:v>-147.828383011865</c:v>
                </c:pt>
                <c:pt idx="23">
                  <c:v>-159.973218001144</c:v>
                </c:pt>
                <c:pt idx="24">
                  <c:v>-172.443167215052</c:v>
                </c:pt>
                <c:pt idx="25">
                  <c:v>-185.214176127248</c:v>
                </c:pt>
                <c:pt idx="26">
                  <c:v>-198.237028562289</c:v>
                </c:pt>
                <c:pt idx="27">
                  <c:v>-211.443862396532</c:v>
                </c:pt>
                <c:pt idx="28">
                  <c:v>-224.75809121385</c:v>
                </c:pt>
                <c:pt idx="29">
                  <c:v>-238.105144333082</c:v>
                </c:pt>
                <c:pt idx="30">
                  <c:v>-251.421134060067</c:v>
                </c:pt>
              </c:numCache>
            </c:numRef>
          </c:yVal>
          <c:smooth val="0"/>
        </c:ser>
        <c:axId val="57364832"/>
        <c:axId val="20357577"/>
      </c:scatterChart>
      <c:scatterChart>
        <c:scatterStyle val="line"/>
        <c:varyColors val="0"/>
        <c:ser>
          <c:idx val="1"/>
          <c:order val="1"/>
          <c:spPr>
            <a:solidFill>
              <a:srgbClr val="000000"/>
            </a:solidFill>
            <a:ln w="180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'lun ecl'!$F$2:$F$32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'lun ecl'!$N$2:$N$32</c:f>
              <c:numCache>
                <c:formatCode>General</c:formatCode>
                <c:ptCount val="31"/>
                <c:pt idx="0">
                  <c:v>-24.308103329961</c:v>
                </c:pt>
                <c:pt idx="1">
                  <c:v>-34.7241943770793</c:v>
                </c:pt>
                <c:pt idx="2">
                  <c:v>-43.1189163161484</c:v>
                </c:pt>
                <c:pt idx="3">
                  <c:v>-48.9345979091708</c:v>
                </c:pt>
                <c:pt idx="4">
                  <c:v>-51.7731046224389</c:v>
                </c:pt>
                <c:pt idx="5">
                  <c:v>-51.4340962238135</c:v>
                </c:pt>
                <c:pt idx="6">
                  <c:v>-47.9457675224573</c:v>
                </c:pt>
                <c:pt idx="7">
                  <c:v>-41.5761074534745</c:v>
                </c:pt>
                <c:pt idx="8">
                  <c:v>-32.811565888454</c:v>
                </c:pt>
                <c:pt idx="9">
                  <c:v>-22.2990818457164</c:v>
                </c:pt>
                <c:pt idx="10">
                  <c:v>-10.762440743104</c:v>
                </c:pt>
                <c:pt idx="11">
                  <c:v>1.08459902262384</c:v>
                </c:pt>
                <c:pt idx="12">
                  <c:v>12.6054652737502</c:v>
                </c:pt>
                <c:pt idx="13">
                  <c:v>23.2754385636861</c:v>
                </c:pt>
                <c:pt idx="14">
                  <c:v>32.6848842353458</c:v>
                </c:pt>
                <c:pt idx="15">
                  <c:v>40.5219005303252</c:v>
                </c:pt>
                <c:pt idx="16">
                  <c:v>46.5476392803579</c:v>
                </c:pt>
                <c:pt idx="17">
                  <c:v>50.5742708445702</c:v>
                </c:pt>
                <c:pt idx="18">
                  <c:v>52.4506577133416</c:v>
                </c:pt>
                <c:pt idx="19">
                  <c:v>52.0576197949573</c:v>
                </c:pt>
                <c:pt idx="20">
                  <c:v>49.3141294976467</c:v>
                </c:pt>
                <c:pt idx="21">
                  <c:v>44.1963138857495</c:v>
                </c:pt>
                <c:pt idx="22">
                  <c:v>36.7700282776604</c:v>
                </c:pt>
                <c:pt idx="23">
                  <c:v>27.2330466048128</c:v>
                </c:pt>
                <c:pt idx="24">
                  <c:v>15.9552762392545</c:v>
                </c:pt>
                <c:pt idx="25">
                  <c:v>3.49888750256671</c:v>
                </c:pt>
                <c:pt idx="26">
                  <c:v>-9.39936300098635</c:v>
                </c:pt>
                <c:pt idx="27">
                  <c:v>-21.8906381211348</c:v>
                </c:pt>
                <c:pt idx="28">
                  <c:v>-33.1106006015076</c:v>
                </c:pt>
                <c:pt idx="29">
                  <c:v>-42.2841863332811</c:v>
                </c:pt>
                <c:pt idx="30">
                  <c:v>-48.8099771490684</c:v>
                </c:pt>
              </c:numCache>
            </c:numRef>
          </c:yVal>
          <c:smooth val="0"/>
        </c:ser>
        <c:axId val="64098870"/>
        <c:axId val="23697269"/>
      </c:scatterChart>
      <c:valAx>
        <c:axId val="57364832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82447954055994"/>
              <c:y val="0.415653287007406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0357577"/>
        <c:crosses val="autoZero"/>
        <c:crossBetween val="midCat"/>
        <c:majorUnit val="3"/>
      </c:valAx>
      <c:valAx>
        <c:axId val="20357577"/>
        <c:scaling>
          <c:orientation val="minMax"/>
          <c:max val="360"/>
          <c:min val="-36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ff00ff"/>
                    </a:solidFill>
                    <a:latin typeface="Arial"/>
                  </a:defRPr>
                </a:pPr>
                <a:r>
                  <a:rPr b="1" sz="1100" spc="-1" strike="noStrike">
                    <a:solidFill>
                      <a:srgbClr val="ff00ff"/>
                    </a:solidFill>
                    <a:latin typeface="Arial"/>
                  </a:rPr>
                  <a:t>|Ls-Lm|-180°</a:t>
                </a:r>
              </a:p>
            </c:rich>
          </c:tx>
          <c:layout>
            <c:manualLayout>
              <c:xMode val="edge"/>
              <c:yMode val="edge"/>
              <c:x val="0.136635558746112"/>
              <c:y val="0.050288013166316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7364832"/>
        <c:crosses val="autoZero"/>
        <c:crossBetween val="midCat"/>
        <c:majorUnit val="60"/>
      </c:valAx>
      <c:valAx>
        <c:axId val="6409887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3697269"/>
        <c:crossBetween val="midCat"/>
      </c:valAx>
      <c:valAx>
        <c:axId val="23697269"/>
        <c:scaling>
          <c:orientation val="minMax"/>
          <c:max val="60"/>
          <c:min val="-60"/>
        </c:scaling>
        <c:delete val="0"/>
        <c:axPos val="r"/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10'Bm</a:t>
                </a:r>
              </a:p>
            </c:rich>
          </c:tx>
          <c:layout>
            <c:manualLayout>
              <c:xMode val="edge"/>
              <c:yMode val="edge"/>
              <c:x val="0.798157453936348"/>
              <c:y val="0.050288013166316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098870"/>
        <c:crosses val="max"/>
        <c:crossBetween val="midCat"/>
        <c:majorUnit val="10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27319190646223"/>
          <c:y val="0.0507197732527784"/>
          <c:w val="0.83994959042218"/>
          <c:h val="0.894831058402327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ff0000"/>
            </a:solidFill>
            <a:ln w="28800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</c:spPr>
          </c:marker>
          <c:dPt>
            <c:idx val="0"/>
            <c:marker>
              <c:symbol val="circle"/>
              <c:size val="10"/>
              <c:spPr>
                <a:solidFill>
                  <a:srgbClr val="ff0000"/>
                </a:solidFill>
              </c:spPr>
            </c:marker>
          </c:dPt>
          <c:dLbls>
            <c:dLbl>
              <c:idx val="0"/>
              <c:txPr>
                <a:bodyPr wrap="none"/>
                <a:lstStyle/>
                <a:p>
                  <a:pPr>
                    <a:defRPr b="0" sz="900" spc="-1" strike="noStrike">
                      <a:solidFill>
                        <a:srgbClr val="ff0000"/>
                      </a:solidFill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900" spc="-1" strike="noStrike">
                    <a:solidFill>
                      <a:srgbClr val="ff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1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'lun ecl'!$P$2:$P$32</c:f>
              <c:numCache>
                <c:formatCode>General</c:formatCode>
                <c:ptCount val="31"/>
                <c:pt idx="0">
                  <c:v>-1.18278212756827</c:v>
                </c:pt>
                <c:pt idx="5">
                  <c:v>-1.16100883702075</c:v>
                </c:pt>
                <c:pt idx="10">
                  <c:v>-1.13065123187837</c:v>
                </c:pt>
                <c:pt idx="15">
                  <c:v>-1.0919337714428</c:v>
                </c:pt>
                <c:pt idx="20">
                  <c:v>-1.04514272645551</c:v>
                </c:pt>
                <c:pt idx="25">
                  <c:v>-0.990624062457464</c:v>
                </c:pt>
              </c:numCache>
            </c:numRef>
          </c:xVal>
          <c:yVal>
            <c:numRef>
              <c:f>'lun ecl'!$Q$2:$Q$32</c:f>
              <c:numCache>
                <c:formatCode>General</c:formatCode>
                <c:ptCount val="31"/>
                <c:pt idx="0">
                  <c:v>-0.202549842520491</c:v>
                </c:pt>
                <c:pt idx="5">
                  <c:v>-0.303411404465498</c:v>
                </c:pt>
                <c:pt idx="10">
                  <c:v>-0.402029590766565</c:v>
                </c:pt>
                <c:pt idx="15">
                  <c:v>-0.497675234246901</c:v>
                </c:pt>
                <c:pt idx="20">
                  <c:v>-0.589641146238246</c:v>
                </c:pt>
                <c:pt idx="25">
                  <c:v>-0.677247345421355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0000ff"/>
            </a:solidFill>
            <a:ln w="28800">
              <a:noFill/>
            </a:ln>
          </c:spPr>
          <c:marker>
            <c:symbol val="circle"/>
            <c:size val="8"/>
            <c:spPr>
              <a:solidFill>
                <a:srgbClr val="0000ff"/>
              </a:solidFill>
            </c:spPr>
          </c:marker>
          <c:dPt>
            <c:idx val="0"/>
            <c:marker>
              <c:symbol val="circle"/>
              <c:size val="10"/>
              <c:spPr>
                <a:solidFill>
                  <a:srgbClr val="00ae00"/>
                </a:solidFill>
              </c:spPr>
            </c:marker>
          </c:dPt>
          <c:dPt>
            <c:idx val="1"/>
            <c:marker>
              <c:symbol val="circle"/>
              <c:size val="8"/>
              <c:spPr>
                <a:solidFill>
                  <a:srgbClr val="ff00ff"/>
                </a:solidFill>
              </c:spPr>
            </c:marker>
          </c:dPt>
          <c:dPt>
            <c:idx val="27"/>
            <c:marker>
              <c:symbol val="circle"/>
              <c:size val="8"/>
              <c:spPr>
                <a:solidFill>
                  <a:srgbClr val="000000"/>
                </a:solidFill>
              </c:spPr>
            </c:marker>
          </c:dPt>
          <c:dLbls>
            <c:dLbl>
              <c:idx val="0"/>
              <c:txPr>
                <a:bodyPr wrap="none"/>
                <a:lstStyle/>
                <a:p>
                  <a:pPr>
                    <a:defRPr b="0" sz="900" spc="-1" strike="noStrike">
                      <a:solidFill>
                        <a:srgbClr val="0000ff"/>
                      </a:solidFill>
                      <a:latin typeface="Arial"/>
                    </a:defRPr>
                  </a:pPr>
                </a:p>
              </c:txPr>
              <c:dLblPos val="b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1"/>
              <c:txPr>
                <a:bodyPr wrap="none"/>
                <a:lstStyle/>
                <a:p>
                  <a:pPr>
                    <a:defRPr b="0" sz="900" spc="-1" strike="noStrike">
                      <a:solidFill>
                        <a:srgbClr val="0000ff"/>
                      </a:solidFill>
                      <a:latin typeface="Arial"/>
                    </a:defRPr>
                  </a:pPr>
                </a:p>
              </c:txPr>
              <c:dLblPos val="b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27"/>
              <c:txPr>
                <a:bodyPr wrap="none"/>
                <a:lstStyle/>
                <a:p>
                  <a:pPr>
                    <a:defRPr b="0" sz="900" spc="-1" strike="noStrike">
                      <a:solidFill>
                        <a:srgbClr val="0000ff"/>
                      </a:solidFill>
                      <a:latin typeface="Arial"/>
                    </a:defRPr>
                  </a:pPr>
                </a:p>
              </c:txPr>
              <c:dLblPos val="b"/>
              <c:showLegendKey val="0"/>
              <c:showVal val="0"/>
              <c:showCatName val="1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900" spc="-1" strike="noStrike">
                    <a:solidFill>
                      <a:srgbClr val="0000ff"/>
                    </a:solidFill>
                    <a:latin typeface="Arial"/>
                  </a:defRPr>
                </a:pPr>
              </a:p>
            </c:txPr>
            <c:dLblPos val="b"/>
            <c:showLegendKey val="0"/>
            <c:showVal val="0"/>
            <c:showCatName val="1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'lun ecl'!$R$2:$R$32</c:f>
              <c:numCache>
                <c:formatCode>General</c:formatCode>
                <c:ptCount val="31"/>
                <c:pt idx="0">
                  <c:v>-0.315988908330502</c:v>
                </c:pt>
                <c:pt idx="1">
                  <c:v>-0.0771878663213257</c:v>
                </c:pt>
                <c:pt idx="2">
                  <c:v>0.1680425885281</c:v>
                </c:pt>
                <c:pt idx="3">
                  <c:v>0.404547427824874</c:v>
                </c:pt>
                <c:pt idx="4">
                  <c:v>0.617184489470827</c:v>
                </c:pt>
                <c:pt idx="5">
                  <c:v>0.792027119321819</c:v>
                </c:pt>
                <c:pt idx="6">
                  <c:v>0.917735861220393</c:v>
                </c:pt>
                <c:pt idx="7">
                  <c:v>0.986868899794936</c:v>
                </c:pt>
                <c:pt idx="8">
                  <c:v>0.996749319770112</c:v>
                </c:pt>
                <c:pt idx="9">
                  <c:v>0.949550869821273</c:v>
                </c:pt>
                <c:pt idx="10">
                  <c:v>0.85152504784845</c:v>
                </c:pt>
                <c:pt idx="11">
                  <c:v>0.711628593668348</c:v>
                </c:pt>
                <c:pt idx="12">
                  <c:v>0.540017861948048</c:v>
                </c:pt>
                <c:pt idx="13">
                  <c:v>0.34684650766433</c:v>
                </c:pt>
                <c:pt idx="14">
                  <c:v>0.141589281565291</c:v>
                </c:pt>
                <c:pt idx="15">
                  <c:v>-0.0671337682831466</c:v>
                </c:pt>
                <c:pt idx="16">
                  <c:v>-0.27141491910219</c:v>
                </c:pt>
                <c:pt idx="17">
                  <c:v>-0.463805989267313</c:v>
                </c:pt>
                <c:pt idx="18">
                  <c:v>-0.637097994265842</c:v>
                </c:pt>
                <c:pt idx="19">
                  <c:v>-0.784194168614856</c:v>
                </c:pt>
                <c:pt idx="20">
                  <c:v>-0.898097497972349</c:v>
                </c:pt>
                <c:pt idx="21">
                  <c:v>-0.972051136568173</c:v>
                </c:pt>
                <c:pt idx="22">
                  <c:v>-0.999909741809082</c:v>
                </c:pt>
                <c:pt idx="23">
                  <c:v>-0.976819446291376</c:v>
                </c:pt>
                <c:pt idx="24">
                  <c:v>-0.900195161702641</c:v>
                </c:pt>
                <c:pt idx="25">
                  <c:v>-0.770814380820779</c:v>
                </c:pt>
                <c:pt idx="26">
                  <c:v>-0.593679814250214</c:v>
                </c:pt>
                <c:pt idx="27">
                  <c:v>-0.378262428979756</c:v>
                </c:pt>
              </c:numCache>
            </c:numRef>
          </c:xVal>
          <c:yVal>
            <c:numRef>
              <c:f>'lun ecl'!$S$2:$S$32</c:f>
              <c:numCache>
                <c:formatCode>General</c:formatCode>
                <c:ptCount val="31"/>
                <c:pt idx="0">
                  <c:v>-0.948762883871464</c:v>
                </c:pt>
                <c:pt idx="1">
                  <c:v>-0.997016566207784</c:v>
                </c:pt>
                <c:pt idx="2">
                  <c:v>-0.985779736270114</c:v>
                </c:pt>
                <c:pt idx="3">
                  <c:v>-0.914517019327841</c:v>
                </c:pt>
                <c:pt idx="4">
                  <c:v>-0.786818470777495</c:v>
                </c:pt>
                <c:pt idx="5">
                  <c:v>-0.610485906683178</c:v>
                </c:pt>
                <c:pt idx="6">
                  <c:v>-0.397191249941465</c:v>
                </c:pt>
                <c:pt idx="7">
                  <c:v>-0.161523294349557</c:v>
                </c:pt>
                <c:pt idx="8">
                  <c:v>0.0805654611965952</c:v>
                </c:pt>
                <c:pt idx="9">
                  <c:v>0.313613050783389</c:v>
                </c:pt>
                <c:pt idx="10">
                  <c:v>0.524313925894302</c:v>
                </c:pt>
                <c:pt idx="11">
                  <c:v>0.702555865873746</c:v>
                </c:pt>
                <c:pt idx="12">
                  <c:v>0.841653556267102</c:v>
                </c:pt>
                <c:pt idx="13">
                  <c:v>0.937921905129131</c:v>
                </c:pt>
                <c:pt idx="14">
                  <c:v>0.989925489794977</c:v>
                </c:pt>
                <c:pt idx="15">
                  <c:v>0.997743983773445</c:v>
                </c:pt>
                <c:pt idx="16">
                  <c:v>0.962462436507915</c:v>
                </c:pt>
                <c:pt idx="17">
                  <c:v>0.885936794765727</c:v>
                </c:pt>
                <c:pt idx="18">
                  <c:v>0.770782813574902</c:v>
                </c:pt>
                <c:pt idx="19">
                  <c:v>0.62051551625278</c:v>
                </c:pt>
                <c:pt idx="20">
                  <c:v>0.439796412145218</c:v>
                </c:pt>
                <c:pt idx="21">
                  <c:v>0.234769222634748</c:v>
                </c:pt>
                <c:pt idx="22">
                  <c:v>0.013435335324963</c:v>
                </c:pt>
                <c:pt idx="23">
                  <c:v>-0.214064871819293</c:v>
                </c:pt>
                <c:pt idx="24">
                  <c:v>-0.435486705706565</c:v>
                </c:pt>
                <c:pt idx="25">
                  <c:v>-0.637059801211691</c:v>
                </c:pt>
                <c:pt idx="26">
                  <c:v>-0.804701359606054</c:v>
                </c:pt>
                <c:pt idx="27">
                  <c:v>-0.925698403813216</c:v>
                </c:pt>
              </c:numCache>
            </c:numRef>
          </c:yVal>
          <c:smooth val="0"/>
        </c:ser>
        <c:axId val="96727378"/>
        <c:axId val="5065652"/>
      </c:scatterChart>
      <c:valAx>
        <c:axId val="96727378"/>
        <c:scaling>
          <c:orientation val="minMax"/>
          <c:max val="1.2"/>
          <c:min val="-1.2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ff0000"/>
                    </a:solidFill>
                    <a:latin typeface="Arial"/>
                  </a:defRPr>
                </a:pPr>
                <a:r>
                  <a:rPr b="1" sz="1100" spc="-1" strike="noStrike">
                    <a:solidFill>
                      <a:srgbClr val="ff0000"/>
                    </a:solidFill>
                    <a:latin typeface="Arial"/>
                  </a:rPr>
                  <a:t>Sun</a:t>
                </a:r>
              </a:p>
            </c:rich>
          </c:tx>
          <c:layout>
            <c:manualLayout>
              <c:xMode val="edge"/>
              <c:yMode val="edge"/>
              <c:x val="0.822376251487783"/>
              <c:y val="0.866114716193034"/>
            </c:manualLayout>
          </c:layout>
          <c:overlay val="0"/>
          <c:spPr>
            <a:noFill/>
            <a:ln w="0">
              <a:noFill/>
            </a:ln>
          </c:spPr>
        </c:title>
        <c:numFmt formatCode="0.000" sourceLinked="1"/>
        <c:majorTickMark val="none"/>
        <c:minorTickMark val="none"/>
        <c:tickLblPos val="none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065652"/>
        <c:crosses val="autoZero"/>
        <c:crossBetween val="midCat"/>
        <c:majorUnit val="0.5"/>
      </c:valAx>
      <c:valAx>
        <c:axId val="5065652"/>
        <c:scaling>
          <c:orientation val="minMax"/>
          <c:max val="1.2"/>
          <c:min val="-1.2"/>
        </c:scaling>
        <c:delete val="0"/>
        <c:axPos val="l"/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ff"/>
                    </a:solidFill>
                    <a:latin typeface="Arial"/>
                  </a:defRPr>
                </a:pPr>
                <a:r>
                  <a:rPr b="1" sz="1100" spc="-1" strike="noStrike">
                    <a:solidFill>
                      <a:srgbClr val="0000ff"/>
                    </a:solidFill>
                    <a:latin typeface="Arial"/>
                  </a:rPr>
                  <a:t>Moon</a:t>
                </a:r>
              </a:p>
            </c:rich>
          </c:tx>
          <c:layout>
            <c:manualLayout>
              <c:xMode val="edge"/>
              <c:yMode val="edge"/>
              <c:x val="0.0864664286214381"/>
              <c:y val="0.0828671589468188"/>
            </c:manualLayout>
          </c:layout>
          <c:overlay val="0"/>
          <c:spPr>
            <a:noFill/>
            <a:ln w="0">
              <a:noFill/>
            </a:ln>
          </c:spPr>
        </c:title>
        <c:numFmt formatCode="0.000" sourceLinked="1"/>
        <c:majorTickMark val="none"/>
        <c:minorTickMark val="none"/>
        <c:tickLblPos val="none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6727378"/>
        <c:crosses val="autoZero"/>
        <c:crossBetween val="midCat"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Topocentric Distance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672544238104"/>
          <c:y val="0.139545523867622"/>
          <c:w val="0.851435002813731"/>
          <c:h val="0.756443495500991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topo!$AY$2:$AY$250</c:f>
              <c:numCache>
                <c:formatCode>General</c:formatCode>
                <c:ptCount val="249"/>
                <c:pt idx="0">
                  <c:v>1</c:v>
                </c:pt>
                <c:pt idx="1">
                  <c:v>1.125</c:v>
                </c:pt>
                <c:pt idx="2">
                  <c:v>1.25</c:v>
                </c:pt>
                <c:pt idx="3">
                  <c:v>1.375</c:v>
                </c:pt>
                <c:pt idx="4">
                  <c:v>1.5</c:v>
                </c:pt>
                <c:pt idx="5">
                  <c:v>1.625</c:v>
                </c:pt>
                <c:pt idx="6">
                  <c:v>1.75</c:v>
                </c:pt>
                <c:pt idx="7">
                  <c:v>1.875</c:v>
                </c:pt>
                <c:pt idx="8">
                  <c:v>2</c:v>
                </c:pt>
                <c:pt idx="9">
                  <c:v>2.125</c:v>
                </c:pt>
                <c:pt idx="10">
                  <c:v>2.25</c:v>
                </c:pt>
                <c:pt idx="11">
                  <c:v>2.375</c:v>
                </c:pt>
                <c:pt idx="12">
                  <c:v>2.5</c:v>
                </c:pt>
                <c:pt idx="13">
                  <c:v>2.625</c:v>
                </c:pt>
                <c:pt idx="14">
                  <c:v>2.75</c:v>
                </c:pt>
                <c:pt idx="15">
                  <c:v>2.875</c:v>
                </c:pt>
                <c:pt idx="16">
                  <c:v>3</c:v>
                </c:pt>
                <c:pt idx="17">
                  <c:v>3.125</c:v>
                </c:pt>
                <c:pt idx="18">
                  <c:v>3.25</c:v>
                </c:pt>
                <c:pt idx="19">
                  <c:v>3.375</c:v>
                </c:pt>
                <c:pt idx="20">
                  <c:v>3.5</c:v>
                </c:pt>
                <c:pt idx="21">
                  <c:v>3.625</c:v>
                </c:pt>
                <c:pt idx="22">
                  <c:v>3.75</c:v>
                </c:pt>
                <c:pt idx="23">
                  <c:v>3.875</c:v>
                </c:pt>
                <c:pt idx="24">
                  <c:v>4</c:v>
                </c:pt>
                <c:pt idx="25">
                  <c:v>4.125</c:v>
                </c:pt>
                <c:pt idx="26">
                  <c:v>4.25</c:v>
                </c:pt>
                <c:pt idx="27">
                  <c:v>4.375</c:v>
                </c:pt>
                <c:pt idx="28">
                  <c:v>4.5</c:v>
                </c:pt>
                <c:pt idx="29">
                  <c:v>4.625</c:v>
                </c:pt>
                <c:pt idx="30">
                  <c:v>4.75</c:v>
                </c:pt>
                <c:pt idx="31">
                  <c:v>4.875</c:v>
                </c:pt>
                <c:pt idx="32">
                  <c:v>5</c:v>
                </c:pt>
                <c:pt idx="33">
                  <c:v>5.125</c:v>
                </c:pt>
                <c:pt idx="34">
                  <c:v>5.25</c:v>
                </c:pt>
                <c:pt idx="35">
                  <c:v>5.375</c:v>
                </c:pt>
                <c:pt idx="36">
                  <c:v>5.5</c:v>
                </c:pt>
                <c:pt idx="37">
                  <c:v>5.625</c:v>
                </c:pt>
                <c:pt idx="38">
                  <c:v>5.75</c:v>
                </c:pt>
                <c:pt idx="39">
                  <c:v>5.875</c:v>
                </c:pt>
                <c:pt idx="40">
                  <c:v>6</c:v>
                </c:pt>
                <c:pt idx="41">
                  <c:v>6.125</c:v>
                </c:pt>
                <c:pt idx="42">
                  <c:v>6.25</c:v>
                </c:pt>
                <c:pt idx="43">
                  <c:v>6.375</c:v>
                </c:pt>
                <c:pt idx="44">
                  <c:v>6.5</c:v>
                </c:pt>
                <c:pt idx="45">
                  <c:v>6.625</c:v>
                </c:pt>
                <c:pt idx="46">
                  <c:v>6.75</c:v>
                </c:pt>
                <c:pt idx="47">
                  <c:v>6.875</c:v>
                </c:pt>
                <c:pt idx="48">
                  <c:v>7</c:v>
                </c:pt>
                <c:pt idx="49">
                  <c:v>7.125</c:v>
                </c:pt>
                <c:pt idx="50">
                  <c:v>7.25</c:v>
                </c:pt>
                <c:pt idx="51">
                  <c:v>7.375</c:v>
                </c:pt>
                <c:pt idx="52">
                  <c:v>7.5</c:v>
                </c:pt>
                <c:pt idx="53">
                  <c:v>7.625</c:v>
                </c:pt>
                <c:pt idx="54">
                  <c:v>7.75</c:v>
                </c:pt>
                <c:pt idx="55">
                  <c:v>7.875</c:v>
                </c:pt>
                <c:pt idx="56">
                  <c:v>8</c:v>
                </c:pt>
                <c:pt idx="57">
                  <c:v>8.125</c:v>
                </c:pt>
                <c:pt idx="58">
                  <c:v>8.25</c:v>
                </c:pt>
                <c:pt idx="59">
                  <c:v>8.375</c:v>
                </c:pt>
                <c:pt idx="60">
                  <c:v>8.5</c:v>
                </c:pt>
                <c:pt idx="61">
                  <c:v>8.625</c:v>
                </c:pt>
                <c:pt idx="62">
                  <c:v>8.75</c:v>
                </c:pt>
                <c:pt idx="63">
                  <c:v>8.875</c:v>
                </c:pt>
                <c:pt idx="64">
                  <c:v>9</c:v>
                </c:pt>
                <c:pt idx="65">
                  <c:v>9.125</c:v>
                </c:pt>
                <c:pt idx="66">
                  <c:v>9.25</c:v>
                </c:pt>
                <c:pt idx="67">
                  <c:v>9.375</c:v>
                </c:pt>
                <c:pt idx="68">
                  <c:v>9.5</c:v>
                </c:pt>
                <c:pt idx="69">
                  <c:v>9.625</c:v>
                </c:pt>
                <c:pt idx="70">
                  <c:v>9.75</c:v>
                </c:pt>
                <c:pt idx="71">
                  <c:v>9.875</c:v>
                </c:pt>
                <c:pt idx="72">
                  <c:v>10</c:v>
                </c:pt>
                <c:pt idx="73">
                  <c:v>10.125</c:v>
                </c:pt>
                <c:pt idx="74">
                  <c:v>10.25</c:v>
                </c:pt>
                <c:pt idx="75">
                  <c:v>10.375</c:v>
                </c:pt>
                <c:pt idx="76">
                  <c:v>10.5</c:v>
                </c:pt>
                <c:pt idx="77">
                  <c:v>10.625</c:v>
                </c:pt>
                <c:pt idx="78">
                  <c:v>10.75</c:v>
                </c:pt>
                <c:pt idx="79">
                  <c:v>10.875</c:v>
                </c:pt>
                <c:pt idx="80">
                  <c:v>11</c:v>
                </c:pt>
                <c:pt idx="81">
                  <c:v>11.125</c:v>
                </c:pt>
                <c:pt idx="82">
                  <c:v>11.25</c:v>
                </c:pt>
                <c:pt idx="83">
                  <c:v>11.375</c:v>
                </c:pt>
                <c:pt idx="84">
                  <c:v>11.5</c:v>
                </c:pt>
                <c:pt idx="85">
                  <c:v>11.625</c:v>
                </c:pt>
                <c:pt idx="86">
                  <c:v>11.75</c:v>
                </c:pt>
                <c:pt idx="87">
                  <c:v>11.875</c:v>
                </c:pt>
                <c:pt idx="88">
                  <c:v>12</c:v>
                </c:pt>
                <c:pt idx="89">
                  <c:v>12.125</c:v>
                </c:pt>
                <c:pt idx="90">
                  <c:v>12.25</c:v>
                </c:pt>
                <c:pt idx="91">
                  <c:v>12.375</c:v>
                </c:pt>
                <c:pt idx="92">
                  <c:v>12.5</c:v>
                </c:pt>
                <c:pt idx="93">
                  <c:v>12.625</c:v>
                </c:pt>
                <c:pt idx="94">
                  <c:v>12.75</c:v>
                </c:pt>
                <c:pt idx="95">
                  <c:v>12.875</c:v>
                </c:pt>
                <c:pt idx="96">
                  <c:v>13</c:v>
                </c:pt>
                <c:pt idx="97">
                  <c:v>13.125</c:v>
                </c:pt>
                <c:pt idx="98">
                  <c:v>13.25</c:v>
                </c:pt>
                <c:pt idx="99">
                  <c:v>13.375</c:v>
                </c:pt>
                <c:pt idx="100">
                  <c:v>13.5</c:v>
                </c:pt>
                <c:pt idx="101">
                  <c:v>13.625</c:v>
                </c:pt>
                <c:pt idx="102">
                  <c:v>13.75</c:v>
                </c:pt>
                <c:pt idx="103">
                  <c:v>13.875</c:v>
                </c:pt>
                <c:pt idx="104">
                  <c:v>14</c:v>
                </c:pt>
                <c:pt idx="105">
                  <c:v>14.125</c:v>
                </c:pt>
                <c:pt idx="106">
                  <c:v>14.25</c:v>
                </c:pt>
                <c:pt idx="107">
                  <c:v>14.375</c:v>
                </c:pt>
                <c:pt idx="108">
                  <c:v>14.5</c:v>
                </c:pt>
                <c:pt idx="109">
                  <c:v>14.625</c:v>
                </c:pt>
                <c:pt idx="110">
                  <c:v>14.75</c:v>
                </c:pt>
                <c:pt idx="111">
                  <c:v>14.875</c:v>
                </c:pt>
                <c:pt idx="112">
                  <c:v>15</c:v>
                </c:pt>
                <c:pt idx="113">
                  <c:v>15.125</c:v>
                </c:pt>
                <c:pt idx="114">
                  <c:v>15.25</c:v>
                </c:pt>
                <c:pt idx="115">
                  <c:v>15.375</c:v>
                </c:pt>
                <c:pt idx="116">
                  <c:v>15.5</c:v>
                </c:pt>
                <c:pt idx="117">
                  <c:v>15.625</c:v>
                </c:pt>
                <c:pt idx="118">
                  <c:v>15.75</c:v>
                </c:pt>
                <c:pt idx="119">
                  <c:v>15.875</c:v>
                </c:pt>
                <c:pt idx="120">
                  <c:v>16</c:v>
                </c:pt>
                <c:pt idx="121">
                  <c:v>16.125</c:v>
                </c:pt>
                <c:pt idx="122">
                  <c:v>16.25</c:v>
                </c:pt>
                <c:pt idx="123">
                  <c:v>16.375</c:v>
                </c:pt>
                <c:pt idx="124">
                  <c:v>16.5</c:v>
                </c:pt>
                <c:pt idx="125">
                  <c:v>16.625</c:v>
                </c:pt>
                <c:pt idx="126">
                  <c:v>16.75</c:v>
                </c:pt>
                <c:pt idx="127">
                  <c:v>16.875</c:v>
                </c:pt>
                <c:pt idx="128">
                  <c:v>17</c:v>
                </c:pt>
                <c:pt idx="129">
                  <c:v>17.125</c:v>
                </c:pt>
                <c:pt idx="130">
                  <c:v>17.25</c:v>
                </c:pt>
                <c:pt idx="131">
                  <c:v>17.375</c:v>
                </c:pt>
                <c:pt idx="132">
                  <c:v>17.5</c:v>
                </c:pt>
                <c:pt idx="133">
                  <c:v>17.625</c:v>
                </c:pt>
                <c:pt idx="134">
                  <c:v>17.75</c:v>
                </c:pt>
                <c:pt idx="135">
                  <c:v>17.875</c:v>
                </c:pt>
                <c:pt idx="136">
                  <c:v>18</c:v>
                </c:pt>
                <c:pt idx="137">
                  <c:v>18.125</c:v>
                </c:pt>
                <c:pt idx="138">
                  <c:v>18.25</c:v>
                </c:pt>
                <c:pt idx="139">
                  <c:v>18.375</c:v>
                </c:pt>
                <c:pt idx="140">
                  <c:v>18.5</c:v>
                </c:pt>
                <c:pt idx="141">
                  <c:v>18.625</c:v>
                </c:pt>
                <c:pt idx="142">
                  <c:v>18.75</c:v>
                </c:pt>
                <c:pt idx="143">
                  <c:v>18.875</c:v>
                </c:pt>
                <c:pt idx="144">
                  <c:v>19</c:v>
                </c:pt>
                <c:pt idx="145">
                  <c:v>19.125</c:v>
                </c:pt>
                <c:pt idx="146">
                  <c:v>19.25</c:v>
                </c:pt>
                <c:pt idx="147">
                  <c:v>19.375</c:v>
                </c:pt>
                <c:pt idx="148">
                  <c:v>19.5</c:v>
                </c:pt>
                <c:pt idx="149">
                  <c:v>19.625</c:v>
                </c:pt>
                <c:pt idx="150">
                  <c:v>19.75</c:v>
                </c:pt>
                <c:pt idx="151">
                  <c:v>19.875</c:v>
                </c:pt>
                <c:pt idx="152">
                  <c:v>20</c:v>
                </c:pt>
                <c:pt idx="153">
                  <c:v>20.125</c:v>
                </c:pt>
                <c:pt idx="154">
                  <c:v>20.25</c:v>
                </c:pt>
                <c:pt idx="155">
                  <c:v>20.375</c:v>
                </c:pt>
                <c:pt idx="156">
                  <c:v>20.5</c:v>
                </c:pt>
                <c:pt idx="157">
                  <c:v>20.625</c:v>
                </c:pt>
                <c:pt idx="158">
                  <c:v>20.75</c:v>
                </c:pt>
                <c:pt idx="159">
                  <c:v>20.875</c:v>
                </c:pt>
                <c:pt idx="160">
                  <c:v>21</c:v>
                </c:pt>
                <c:pt idx="161">
                  <c:v>21.125</c:v>
                </c:pt>
                <c:pt idx="162">
                  <c:v>21.25</c:v>
                </c:pt>
                <c:pt idx="163">
                  <c:v>21.375</c:v>
                </c:pt>
                <c:pt idx="164">
                  <c:v>21.5</c:v>
                </c:pt>
                <c:pt idx="165">
                  <c:v>21.625</c:v>
                </c:pt>
                <c:pt idx="166">
                  <c:v>21.75</c:v>
                </c:pt>
                <c:pt idx="167">
                  <c:v>21.875</c:v>
                </c:pt>
                <c:pt idx="168">
                  <c:v>22</c:v>
                </c:pt>
                <c:pt idx="169">
                  <c:v>22.125</c:v>
                </c:pt>
                <c:pt idx="170">
                  <c:v>22.25</c:v>
                </c:pt>
                <c:pt idx="171">
                  <c:v>22.375</c:v>
                </c:pt>
                <c:pt idx="172">
                  <c:v>22.5</c:v>
                </c:pt>
                <c:pt idx="173">
                  <c:v>22.625</c:v>
                </c:pt>
                <c:pt idx="174">
                  <c:v>22.75</c:v>
                </c:pt>
                <c:pt idx="175">
                  <c:v>22.875</c:v>
                </c:pt>
                <c:pt idx="176">
                  <c:v>23</c:v>
                </c:pt>
                <c:pt idx="177">
                  <c:v>23.125</c:v>
                </c:pt>
                <c:pt idx="178">
                  <c:v>23.25</c:v>
                </c:pt>
                <c:pt idx="179">
                  <c:v>23.375</c:v>
                </c:pt>
                <c:pt idx="180">
                  <c:v>23.5</c:v>
                </c:pt>
                <c:pt idx="181">
                  <c:v>23.625</c:v>
                </c:pt>
                <c:pt idx="182">
                  <c:v>23.75</c:v>
                </c:pt>
                <c:pt idx="183">
                  <c:v>23.875</c:v>
                </c:pt>
                <c:pt idx="184">
                  <c:v>24</c:v>
                </c:pt>
                <c:pt idx="185">
                  <c:v>24.125</c:v>
                </c:pt>
                <c:pt idx="186">
                  <c:v>24.25</c:v>
                </c:pt>
                <c:pt idx="187">
                  <c:v>24.375</c:v>
                </c:pt>
                <c:pt idx="188">
                  <c:v>24.5</c:v>
                </c:pt>
                <c:pt idx="189">
                  <c:v>24.625</c:v>
                </c:pt>
                <c:pt idx="190">
                  <c:v>24.75</c:v>
                </c:pt>
                <c:pt idx="191">
                  <c:v>24.875</c:v>
                </c:pt>
                <c:pt idx="192">
                  <c:v>25</c:v>
                </c:pt>
                <c:pt idx="193">
                  <c:v>25.125</c:v>
                </c:pt>
                <c:pt idx="194">
                  <c:v>25.25</c:v>
                </c:pt>
                <c:pt idx="195">
                  <c:v>25.375</c:v>
                </c:pt>
                <c:pt idx="196">
                  <c:v>25.5</c:v>
                </c:pt>
                <c:pt idx="197">
                  <c:v>25.625</c:v>
                </c:pt>
                <c:pt idx="198">
                  <c:v>25.75</c:v>
                </c:pt>
                <c:pt idx="199">
                  <c:v>25.875</c:v>
                </c:pt>
                <c:pt idx="200">
                  <c:v>26</c:v>
                </c:pt>
                <c:pt idx="201">
                  <c:v>26.125</c:v>
                </c:pt>
                <c:pt idx="202">
                  <c:v>26.25</c:v>
                </c:pt>
                <c:pt idx="203">
                  <c:v>26.375</c:v>
                </c:pt>
                <c:pt idx="204">
                  <c:v>26.5</c:v>
                </c:pt>
                <c:pt idx="205">
                  <c:v>26.625</c:v>
                </c:pt>
                <c:pt idx="206">
                  <c:v>26.75</c:v>
                </c:pt>
                <c:pt idx="207">
                  <c:v>26.875</c:v>
                </c:pt>
                <c:pt idx="208">
                  <c:v>27</c:v>
                </c:pt>
                <c:pt idx="209">
                  <c:v>27.125</c:v>
                </c:pt>
                <c:pt idx="210">
                  <c:v>27.25</c:v>
                </c:pt>
                <c:pt idx="211">
                  <c:v>27.375</c:v>
                </c:pt>
                <c:pt idx="212">
                  <c:v>27.5</c:v>
                </c:pt>
                <c:pt idx="213">
                  <c:v>27.625</c:v>
                </c:pt>
                <c:pt idx="214">
                  <c:v>27.75</c:v>
                </c:pt>
                <c:pt idx="215">
                  <c:v>27.875</c:v>
                </c:pt>
                <c:pt idx="216">
                  <c:v>28</c:v>
                </c:pt>
                <c:pt idx="217">
                  <c:v>28.125</c:v>
                </c:pt>
                <c:pt idx="218">
                  <c:v>28.25</c:v>
                </c:pt>
                <c:pt idx="219">
                  <c:v>28.375</c:v>
                </c:pt>
                <c:pt idx="220">
                  <c:v>28.5</c:v>
                </c:pt>
                <c:pt idx="221">
                  <c:v>28.625</c:v>
                </c:pt>
                <c:pt idx="222">
                  <c:v>28.75</c:v>
                </c:pt>
                <c:pt idx="223">
                  <c:v>28.875</c:v>
                </c:pt>
                <c:pt idx="224">
                  <c:v>29</c:v>
                </c:pt>
                <c:pt idx="225">
                  <c:v>29.125</c:v>
                </c:pt>
                <c:pt idx="226">
                  <c:v>29.25</c:v>
                </c:pt>
                <c:pt idx="227">
                  <c:v>29.375</c:v>
                </c:pt>
                <c:pt idx="228">
                  <c:v>29.5</c:v>
                </c:pt>
                <c:pt idx="229">
                  <c:v>29.625</c:v>
                </c:pt>
                <c:pt idx="230">
                  <c:v>29.75</c:v>
                </c:pt>
                <c:pt idx="231">
                  <c:v>29.875</c:v>
                </c:pt>
                <c:pt idx="232">
                  <c:v>30</c:v>
                </c:pt>
                <c:pt idx="233">
                  <c:v>30.125</c:v>
                </c:pt>
                <c:pt idx="234">
                  <c:v>30.25</c:v>
                </c:pt>
                <c:pt idx="235">
                  <c:v>30.375</c:v>
                </c:pt>
                <c:pt idx="236">
                  <c:v>30.5</c:v>
                </c:pt>
                <c:pt idx="237">
                  <c:v>30.625</c:v>
                </c:pt>
                <c:pt idx="238">
                  <c:v>30.75</c:v>
                </c:pt>
                <c:pt idx="239">
                  <c:v>30.875</c:v>
                </c:pt>
                <c:pt idx="240">
                  <c:v>31</c:v>
                </c:pt>
                <c:pt idx="241">
                  <c:v>31.125</c:v>
                </c:pt>
                <c:pt idx="242">
                  <c:v>31.25</c:v>
                </c:pt>
                <c:pt idx="243">
                  <c:v>31.375</c:v>
                </c:pt>
                <c:pt idx="244">
                  <c:v>31.5</c:v>
                </c:pt>
                <c:pt idx="245">
                  <c:v>31.625</c:v>
                </c:pt>
                <c:pt idx="246">
                  <c:v>31.75</c:v>
                </c:pt>
                <c:pt idx="247">
                  <c:v>31.875</c:v>
                </c:pt>
                <c:pt idx="248">
                  <c:v>32</c:v>
                </c:pt>
              </c:numCache>
            </c:numRef>
          </c:xVal>
          <c:yVal>
            <c:numRef>
              <c:f>topo!$BJ$2:$BJ$250</c:f>
              <c:numCache>
                <c:formatCode>General</c:formatCode>
                <c:ptCount val="249"/>
                <c:pt idx="0">
                  <c:v>374557.589526501</c:v>
                </c:pt>
                <c:pt idx="1">
                  <c:v>376730.592519652</c:v>
                </c:pt>
                <c:pt idx="2">
                  <c:v>376158.566745739</c:v>
                </c:pt>
                <c:pt idx="3">
                  <c:v>373038.860259558</c:v>
                </c:pt>
                <c:pt idx="4">
                  <c:v>368919.653322913</c:v>
                </c:pt>
                <c:pt idx="5">
                  <c:v>365918.249941163</c:v>
                </c:pt>
                <c:pt idx="6">
                  <c:v>365574.008839453</c:v>
                </c:pt>
                <c:pt idx="7">
                  <c:v>367956.306940663</c:v>
                </c:pt>
                <c:pt idx="8">
                  <c:v>371630.792006549</c:v>
                </c:pt>
                <c:pt idx="9">
                  <c:v>374505.034037048</c:v>
                </c:pt>
                <c:pt idx="10">
                  <c:v>374969.294610657</c:v>
                </c:pt>
                <c:pt idx="11">
                  <c:v>372701.175226395</c:v>
                </c:pt>
                <c:pt idx="12">
                  <c:v>368815.243912085</c:v>
                </c:pt>
                <c:pt idx="13">
                  <c:v>365314.938830494</c:v>
                </c:pt>
                <c:pt idx="14">
                  <c:v>364041.491123819</c:v>
                </c:pt>
                <c:pt idx="15">
                  <c:v>365628.238810599</c:v>
                </c:pt>
                <c:pt idx="16">
                  <c:v>369123.585497181</c:v>
                </c:pt>
                <c:pt idx="17">
                  <c:v>372555.851797367</c:v>
                </c:pt>
                <c:pt idx="18">
                  <c:v>374036.384176251</c:v>
                </c:pt>
                <c:pt idx="19">
                  <c:v>372733.016610802</c:v>
                </c:pt>
                <c:pt idx="20">
                  <c:v>369275.161841585</c:v>
                </c:pt>
                <c:pt idx="21">
                  <c:v>365454.303570754</c:v>
                </c:pt>
                <c:pt idx="22">
                  <c:v>363313.735934202</c:v>
                </c:pt>
                <c:pt idx="23">
                  <c:v>364015.737719681</c:v>
                </c:pt>
                <c:pt idx="24">
                  <c:v>367149.366566404</c:v>
                </c:pt>
                <c:pt idx="25">
                  <c:v>370970.272742328</c:v>
                </c:pt>
                <c:pt idx="26">
                  <c:v>373399.943744894</c:v>
                </c:pt>
                <c:pt idx="27">
                  <c:v>373131.697819272</c:v>
                </c:pt>
                <c:pt idx="28">
                  <c:v>370282.15286102</c:v>
                </c:pt>
                <c:pt idx="29">
                  <c:v>366345.894379294</c:v>
                </c:pt>
                <c:pt idx="30">
                  <c:v>363458.838377157</c:v>
                </c:pt>
                <c:pt idx="31">
                  <c:v>363244.592782386</c:v>
                </c:pt>
                <c:pt idx="32">
                  <c:v>365858.24686706</c:v>
                </c:pt>
                <c:pt idx="33">
                  <c:v>369880.503220639</c:v>
                </c:pt>
                <c:pt idx="34">
                  <c:v>373146.721978092</c:v>
                </c:pt>
                <c:pt idx="35">
                  <c:v>373935.887476188</c:v>
                </c:pt>
                <c:pt idx="36">
                  <c:v>371849.135115491</c:v>
                </c:pt>
                <c:pt idx="37">
                  <c:v>368016.1105546</c:v>
                </c:pt>
                <c:pt idx="38">
                  <c:v>364553.495520686</c:v>
                </c:pt>
                <c:pt idx="39">
                  <c:v>363451.241573512</c:v>
                </c:pt>
                <c:pt idx="40">
                  <c:v>365420.249789687</c:v>
                </c:pt>
                <c:pt idx="41">
                  <c:v>369447.390361544</c:v>
                </c:pt>
                <c:pt idx="42">
                  <c:v>373395.120066383</c:v>
                </c:pt>
                <c:pt idx="43">
                  <c:v>375211.581100445</c:v>
                </c:pt>
                <c:pt idx="44">
                  <c:v>374004.820315578</c:v>
                </c:pt>
                <c:pt idx="45">
                  <c:v>370491.018669028</c:v>
                </c:pt>
                <c:pt idx="46">
                  <c:v>366660.242892261</c:v>
                </c:pt>
                <c:pt idx="47">
                  <c:v>364754.067389926</c:v>
                </c:pt>
                <c:pt idx="48">
                  <c:v>365993.752197457</c:v>
                </c:pt>
                <c:pt idx="49">
                  <c:v>369829.635682114</c:v>
                </c:pt>
                <c:pt idx="50">
                  <c:v>374266.857128723</c:v>
                </c:pt>
                <c:pt idx="51">
                  <c:v>377026.071303522</c:v>
                </c:pt>
                <c:pt idx="52">
                  <c:v>376768.729964067</c:v>
                </c:pt>
                <c:pt idx="53">
                  <c:v>373770.043617968</c:v>
                </c:pt>
                <c:pt idx="54">
                  <c:v>369796.665329883</c:v>
                </c:pt>
                <c:pt idx="55">
                  <c:v>367216.624342657</c:v>
                </c:pt>
                <c:pt idx="56">
                  <c:v>367685.122721636</c:v>
                </c:pt>
                <c:pt idx="57">
                  <c:v>371144.159877453</c:v>
                </c:pt>
                <c:pt idx="58">
                  <c:v>375850.866258754</c:v>
                </c:pt>
                <c:pt idx="59">
                  <c:v>379415.927183801</c:v>
                </c:pt>
                <c:pt idx="60">
                  <c:v>380122.373424389</c:v>
                </c:pt>
                <c:pt idx="61">
                  <c:v>377798.301544022</c:v>
                </c:pt>
                <c:pt idx="62">
                  <c:v>373905.623877085</c:v>
                </c:pt>
                <c:pt idx="63">
                  <c:v>370812.988554089</c:v>
                </c:pt>
                <c:pt idx="64">
                  <c:v>370509.983868523</c:v>
                </c:pt>
                <c:pt idx="65">
                  <c:v>373427.330119355</c:v>
                </c:pt>
                <c:pt idx="66">
                  <c:v>378168.253524079</c:v>
                </c:pt>
                <c:pt idx="67">
                  <c:v>382357.327100819</c:v>
                </c:pt>
                <c:pt idx="68">
                  <c:v>383984.953702388</c:v>
                </c:pt>
                <c:pt idx="69">
                  <c:v>382446.458821481</c:v>
                </c:pt>
                <c:pt idx="70">
                  <c:v>378836.463070735</c:v>
                </c:pt>
                <c:pt idx="71">
                  <c:v>375406.609353531</c:v>
                </c:pt>
                <c:pt idx="72">
                  <c:v>374368.202954823</c:v>
                </c:pt>
                <c:pt idx="73">
                  <c:v>376608.527677521</c:v>
                </c:pt>
                <c:pt idx="74">
                  <c:v>381148.3555888</c:v>
                </c:pt>
                <c:pt idx="75">
                  <c:v>385747.341857577</c:v>
                </c:pt>
                <c:pt idx="76">
                  <c:v>388201.138210198</c:v>
                </c:pt>
                <c:pt idx="77">
                  <c:v>387505.061982364</c:v>
                </c:pt>
                <c:pt idx="78">
                  <c:v>384344.186293831</c:v>
                </c:pt>
                <c:pt idx="79">
                  <c:v>380750.482997142</c:v>
                </c:pt>
                <c:pt idx="80">
                  <c:v>379041.400385509</c:v>
                </c:pt>
                <c:pt idx="81">
                  <c:v>380504.791331005</c:v>
                </c:pt>
                <c:pt idx="82">
                  <c:v>384623.397773288</c:v>
                </c:pt>
                <c:pt idx="83">
                  <c:v>389401.896760219</c:v>
                </c:pt>
                <c:pt idx="84">
                  <c:v>392544.791428782</c:v>
                </c:pt>
                <c:pt idx="85">
                  <c:v>392695.524857349</c:v>
                </c:pt>
                <c:pt idx="86">
                  <c:v>390107.455864962</c:v>
                </c:pt>
                <c:pt idx="87">
                  <c:v>386509.120941262</c:v>
                </c:pt>
                <c:pt idx="88">
                  <c:v>384214.111195456</c:v>
                </c:pt>
                <c:pt idx="89">
                  <c:v>384838.359043913</c:v>
                </c:pt>
                <c:pt idx="90">
                  <c:v>388343.352422765</c:v>
                </c:pt>
                <c:pt idx="91">
                  <c:v>393070.890017777</c:v>
                </c:pt>
                <c:pt idx="92">
                  <c:v>396737.447019457</c:v>
                </c:pt>
                <c:pt idx="93">
                  <c:v>397694.479665224</c:v>
                </c:pt>
                <c:pt idx="94">
                  <c:v>395759.97094909</c:v>
                </c:pt>
                <c:pt idx="95">
                  <c:v>392295.372062245</c:v>
                </c:pt>
                <c:pt idx="96">
                  <c:v>389511.632402916</c:v>
                </c:pt>
                <c:pt idx="97">
                  <c:v>389271.23547779</c:v>
                </c:pt>
                <c:pt idx="98">
                  <c:v>392006.123644722</c:v>
                </c:pt>
                <c:pt idx="99">
                  <c:v>396465.791507835</c:v>
                </c:pt>
                <c:pt idx="100">
                  <c:v>400476.185904412</c:v>
                </c:pt>
                <c:pt idx="101">
                  <c:v>402164.771900682</c:v>
                </c:pt>
                <c:pt idx="102">
                  <c:v>400926.609422757</c:v>
                </c:pt>
                <c:pt idx="103">
                  <c:v>397711.694699573</c:v>
                </c:pt>
                <c:pt idx="104">
                  <c:v>394543.500915219</c:v>
                </c:pt>
                <c:pt idx="105">
                  <c:v>393446.640490706</c:v>
                </c:pt>
                <c:pt idx="106">
                  <c:v>395294.553204321</c:v>
                </c:pt>
                <c:pt idx="107">
                  <c:v>399292.570128363</c:v>
                </c:pt>
                <c:pt idx="108">
                  <c:v>403464.41067881</c:v>
                </c:pt>
                <c:pt idx="109">
                  <c:v>405786.474155086</c:v>
                </c:pt>
                <c:pt idx="110">
                  <c:v>405256.904329012</c:v>
                </c:pt>
                <c:pt idx="111">
                  <c:v>402387.231067491</c:v>
                </c:pt>
                <c:pt idx="112">
                  <c:v>398943.087136786</c:v>
                </c:pt>
                <c:pt idx="113">
                  <c:v>397028.121142947</c:v>
                </c:pt>
                <c:pt idx="114">
                  <c:v>397912.386773733</c:v>
                </c:pt>
                <c:pt idx="115">
                  <c:v>401283.742897906</c:v>
                </c:pt>
                <c:pt idx="116">
                  <c:v>405440.705851984</c:v>
                </c:pt>
                <c:pt idx="117">
                  <c:v>408284.031634022</c:v>
                </c:pt>
                <c:pt idx="118">
                  <c:v>408452.302908356</c:v>
                </c:pt>
                <c:pt idx="119">
                  <c:v>406006.806715606</c:v>
                </c:pt>
                <c:pt idx="120">
                  <c:v>402398.718865034</c:v>
                </c:pt>
                <c:pt idx="121">
                  <c:v>399731.384235072</c:v>
                </c:pt>
                <c:pt idx="122">
                  <c:v>399614.716076289</c:v>
                </c:pt>
                <c:pt idx="123">
                  <c:v>402226.129110319</c:v>
                </c:pt>
                <c:pt idx="124">
                  <c:v>406203.644163945</c:v>
                </c:pt>
                <c:pt idx="125">
                  <c:v>409448.606612712</c:v>
                </c:pt>
                <c:pt idx="126">
                  <c:v>410287.173583529</c:v>
                </c:pt>
                <c:pt idx="127">
                  <c:v>408332.121314748</c:v>
                </c:pt>
                <c:pt idx="128">
                  <c:v>404676.184290841</c:v>
                </c:pt>
                <c:pt idx="129">
                  <c:v>401347.959574815</c:v>
                </c:pt>
                <c:pt idx="130">
                  <c:v>400231.582260249</c:v>
                </c:pt>
                <c:pt idx="131">
                  <c:v>401983.140718514</c:v>
                </c:pt>
                <c:pt idx="132">
                  <c:v>405631.970773405</c:v>
                </c:pt>
                <c:pt idx="133">
                  <c:v>409155.891572126</c:v>
                </c:pt>
                <c:pt idx="134">
                  <c:v>410624.654474818</c:v>
                </c:pt>
                <c:pt idx="135">
                  <c:v>409216.706140561</c:v>
                </c:pt>
                <c:pt idx="136">
                  <c:v>405634.032064634</c:v>
                </c:pt>
                <c:pt idx="137">
                  <c:v>401761.384498376</c:v>
                </c:pt>
                <c:pt idx="138">
                  <c:v>399684.616207781</c:v>
                </c:pt>
                <c:pt idx="139">
                  <c:v>400511.008407343</c:v>
                </c:pt>
                <c:pt idx="140">
                  <c:v>403699.531073503</c:v>
                </c:pt>
                <c:pt idx="141">
                  <c:v>407379.064908823</c:v>
                </c:pt>
                <c:pt idx="142">
                  <c:v>409427.49144017</c:v>
                </c:pt>
                <c:pt idx="143">
                  <c:v>408615.197590474</c:v>
                </c:pt>
                <c:pt idx="144">
                  <c:v>405232.267861891</c:v>
                </c:pt>
                <c:pt idx="145">
                  <c:v>400956.094339751</c:v>
                </c:pt>
                <c:pt idx="146">
                  <c:v>397996.248105191</c:v>
                </c:pt>
                <c:pt idx="147">
                  <c:v>397867.936606043</c:v>
                </c:pt>
                <c:pt idx="148">
                  <c:v>400483.68624175</c:v>
                </c:pt>
                <c:pt idx="149">
                  <c:v>404195.658069865</c:v>
                </c:pt>
                <c:pt idx="150">
                  <c:v>406762.845486551</c:v>
                </c:pt>
                <c:pt idx="151">
                  <c:v>406586.1897074</c:v>
                </c:pt>
                <c:pt idx="152">
                  <c:v>403533.897878328</c:v>
                </c:pt>
                <c:pt idx="153">
                  <c:v>399018.412526024</c:v>
                </c:pt>
                <c:pt idx="154">
                  <c:v>395290.619044543</c:v>
                </c:pt>
                <c:pt idx="155">
                  <c:v>394215.058596982</c:v>
                </c:pt>
                <c:pt idx="156">
                  <c:v>396165.977800279</c:v>
                </c:pt>
                <c:pt idx="157">
                  <c:v>399787.140990434</c:v>
                </c:pt>
                <c:pt idx="158">
                  <c:v>402800.021468164</c:v>
                </c:pt>
                <c:pt idx="159">
                  <c:v>403287.820189134</c:v>
                </c:pt>
                <c:pt idx="160">
                  <c:v>400698.66677252</c:v>
                </c:pt>
                <c:pt idx="161">
                  <c:v>396129.068285595</c:v>
                </c:pt>
                <c:pt idx="162">
                  <c:v>391785.566387211</c:v>
                </c:pt>
                <c:pt idx="163">
                  <c:v>389808.493287197</c:v>
                </c:pt>
                <c:pt idx="164">
                  <c:v>391024.398578866</c:v>
                </c:pt>
                <c:pt idx="165">
                  <c:v>394430.76271975</c:v>
                </c:pt>
                <c:pt idx="166">
                  <c:v>397800.859916493</c:v>
                </c:pt>
                <c:pt idx="167">
                  <c:v>398965.995283558</c:v>
                </c:pt>
                <c:pt idx="168">
                  <c:v>396968.978981456</c:v>
                </c:pt>
                <c:pt idx="169">
                  <c:v>392547.179571975</c:v>
                </c:pt>
                <c:pt idx="170">
                  <c:v>387775.424855142</c:v>
                </c:pt>
                <c:pt idx="171">
                  <c:v>384982.041651438</c:v>
                </c:pt>
                <c:pt idx="172">
                  <c:v>385416.806117655</c:v>
                </c:pt>
                <c:pt idx="173">
                  <c:v>388483.427524851</c:v>
                </c:pt>
                <c:pt idx="174">
                  <c:v>392102.897897147</c:v>
                </c:pt>
                <c:pt idx="175">
                  <c:v>393935.592553315</c:v>
                </c:pt>
                <c:pt idx="176">
                  <c:v>392648.389788496</c:v>
                </c:pt>
                <c:pt idx="177">
                  <c:v>388585.894573705</c:v>
                </c:pt>
                <c:pt idx="178">
                  <c:v>383604.400363674</c:v>
                </c:pt>
                <c:pt idx="179">
                  <c:v>380119.759928627</c:v>
                </c:pt>
                <c:pt idx="180">
                  <c:v>379754.446542847</c:v>
                </c:pt>
                <c:pt idx="181">
                  <c:v>382356.760450022</c:v>
                </c:pt>
                <c:pt idx="182">
                  <c:v>386094.93905238</c:v>
                </c:pt>
                <c:pt idx="183">
                  <c:v>388554.779061724</c:v>
                </c:pt>
                <c:pt idx="184">
                  <c:v>388073.118403792</c:v>
                </c:pt>
                <c:pt idx="185">
                  <c:v>384580.167112038</c:v>
                </c:pt>
                <c:pt idx="186">
                  <c:v>379630.65292033</c:v>
                </c:pt>
                <c:pt idx="187">
                  <c:v>375617.913305498</c:v>
                </c:pt>
                <c:pt idx="188">
                  <c:v>374464.543046834</c:v>
                </c:pt>
                <c:pt idx="189">
                  <c:v>376482.306359006</c:v>
                </c:pt>
                <c:pt idx="190">
                  <c:v>380184.549186113</c:v>
                </c:pt>
                <c:pt idx="191">
                  <c:v>383192.8208704</c:v>
                </c:pt>
                <c:pt idx="192">
                  <c:v>383577.833584553</c:v>
                </c:pt>
                <c:pt idx="193">
                  <c:v>380848.623323867</c:v>
                </c:pt>
                <c:pt idx="194">
                  <c:v>376183.378141212</c:v>
                </c:pt>
                <c:pt idx="195">
                  <c:v>371838.3578599</c:v>
                </c:pt>
                <c:pt idx="196">
                  <c:v>369943.348648562</c:v>
                </c:pt>
                <c:pt idx="197">
                  <c:v>371267.859106605</c:v>
                </c:pt>
                <c:pt idx="198">
                  <c:v>374758.780594352</c:v>
                </c:pt>
                <c:pt idx="199">
                  <c:v>378193.631257605</c:v>
                </c:pt>
                <c:pt idx="200">
                  <c:v>379459.290622709</c:v>
                </c:pt>
                <c:pt idx="201">
                  <c:v>377654.591923222</c:v>
                </c:pt>
                <c:pt idx="202">
                  <c:v>373519.282266571</c:v>
                </c:pt>
                <c:pt idx="203">
                  <c:v>369060.351751381</c:v>
                </c:pt>
                <c:pt idx="204">
                  <c:v>366506.215449015</c:v>
                </c:pt>
                <c:pt idx="205">
                  <c:v>367050.510777375</c:v>
                </c:pt>
                <c:pt idx="206">
                  <c:v>370143.194484232</c:v>
                </c:pt>
                <c:pt idx="207">
                  <c:v>373840.464748281</c:v>
                </c:pt>
                <c:pt idx="208">
                  <c:v>375944.350926127</c:v>
                </c:pt>
                <c:pt idx="209">
                  <c:v>375174.541258496</c:v>
                </c:pt>
                <c:pt idx="210">
                  <c:v>371788.647257711</c:v>
                </c:pt>
                <c:pt idx="211">
                  <c:v>367442.46086116</c:v>
                </c:pt>
                <c:pt idx="212">
                  <c:v>364346.418023011</c:v>
                </c:pt>
                <c:pt idx="213">
                  <c:v>364056.805298665</c:v>
                </c:pt>
                <c:pt idx="214">
                  <c:v>366567.918466783</c:v>
                </c:pt>
                <c:pt idx="215">
                  <c:v>370329.551322874</c:v>
                </c:pt>
                <c:pt idx="216">
                  <c:v>373170.199982653</c:v>
                </c:pt>
                <c:pt idx="217">
                  <c:v>373482.634087564</c:v>
                </c:pt>
                <c:pt idx="218">
                  <c:v>371021.263081626</c:v>
                </c:pt>
                <c:pt idx="219">
                  <c:v>367006.547856288</c:v>
                </c:pt>
                <c:pt idx="220">
                  <c:v>363515.470803884</c:v>
                </c:pt>
                <c:pt idx="221">
                  <c:v>362381.668595772</c:v>
                </c:pt>
                <c:pt idx="222">
                  <c:v>364150.139646961</c:v>
                </c:pt>
                <c:pt idx="223">
                  <c:v>367759.864149837</c:v>
                </c:pt>
                <c:pt idx="224">
                  <c:v>371182.444526493</c:v>
                </c:pt>
                <c:pt idx="225">
                  <c:v>372556.355710434</c:v>
                </c:pt>
                <c:pt idx="226">
                  <c:v>371137.293471934</c:v>
                </c:pt>
                <c:pt idx="227">
                  <c:v>367649.871275972</c:v>
                </c:pt>
                <c:pt idx="228">
                  <c:v>363932.134226212</c:v>
                </c:pt>
                <c:pt idx="229">
                  <c:v>361993.318172706</c:v>
                </c:pt>
                <c:pt idx="230">
                  <c:v>362898.572533934</c:v>
                </c:pt>
                <c:pt idx="231">
                  <c:v>366142.066774015</c:v>
                </c:pt>
                <c:pt idx="232">
                  <c:v>369951.628840344</c:v>
                </c:pt>
                <c:pt idx="233">
                  <c:v>372301.544868999</c:v>
                </c:pt>
                <c:pt idx="234">
                  <c:v>371979.783663048</c:v>
                </c:pt>
                <c:pt idx="235">
                  <c:v>369181.536877928</c:v>
                </c:pt>
                <c:pt idx="236">
                  <c:v>365417.279703312</c:v>
                </c:pt>
                <c:pt idx="237">
                  <c:v>362762.553561408</c:v>
                </c:pt>
                <c:pt idx="238">
                  <c:v>362738.308762152</c:v>
                </c:pt>
                <c:pt idx="239">
                  <c:v>365423.63058693</c:v>
                </c:pt>
                <c:pt idx="240">
                  <c:v>369402.942656188</c:v>
                </c:pt>
                <c:pt idx="241">
                  <c:v>372589.029921898</c:v>
                </c:pt>
                <c:pt idx="242">
                  <c:v>373358.510565642</c:v>
                </c:pt>
                <c:pt idx="243">
                  <c:v>371371.349483076</c:v>
                </c:pt>
                <c:pt idx="244">
                  <c:v>367742.779692668</c:v>
                </c:pt>
                <c:pt idx="245">
                  <c:v>364506.293545266</c:v>
                </c:pt>
                <c:pt idx="246">
                  <c:v>363547.537978885</c:v>
                </c:pt>
                <c:pt idx="247">
                  <c:v>365521.975168298</c:v>
                </c:pt>
                <c:pt idx="248">
                  <c:v>369450.161100826</c:v>
                </c:pt>
              </c:numCache>
            </c:numRef>
          </c:yVal>
          <c:smooth val="0"/>
        </c:ser>
        <c:axId val="74804684"/>
        <c:axId val="45746377"/>
      </c:scatterChart>
      <c:valAx>
        <c:axId val="74804684"/>
        <c:scaling>
          <c:orientation val="minMax"/>
          <c:max val="32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5746377"/>
        <c:crosses val="autoZero"/>
        <c:crossBetween val="between"/>
        <c:majorUnit val="3"/>
      </c:valAx>
      <c:valAx>
        <c:axId val="45746377"/>
        <c:scaling>
          <c:orientation val="minMax"/>
          <c:min val="3500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4804684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Illumination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628659476117"/>
          <c:y val="0.139709404438767"/>
          <c:w val="0.851395309022428"/>
          <c:h val="0.756506466549577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topo!$AY$2:$AY$250</c:f>
              <c:numCache>
                <c:formatCode>General</c:formatCode>
                <c:ptCount val="249"/>
                <c:pt idx="0">
                  <c:v>1</c:v>
                </c:pt>
                <c:pt idx="1">
                  <c:v>1.125</c:v>
                </c:pt>
                <c:pt idx="2">
                  <c:v>1.25</c:v>
                </c:pt>
                <c:pt idx="3">
                  <c:v>1.375</c:v>
                </c:pt>
                <c:pt idx="4">
                  <c:v>1.5</c:v>
                </c:pt>
                <c:pt idx="5">
                  <c:v>1.625</c:v>
                </c:pt>
                <c:pt idx="6">
                  <c:v>1.75</c:v>
                </c:pt>
                <c:pt idx="7">
                  <c:v>1.875</c:v>
                </c:pt>
                <c:pt idx="8">
                  <c:v>2</c:v>
                </c:pt>
                <c:pt idx="9">
                  <c:v>2.125</c:v>
                </c:pt>
                <c:pt idx="10">
                  <c:v>2.25</c:v>
                </c:pt>
                <c:pt idx="11">
                  <c:v>2.375</c:v>
                </c:pt>
                <c:pt idx="12">
                  <c:v>2.5</c:v>
                </c:pt>
                <c:pt idx="13">
                  <c:v>2.625</c:v>
                </c:pt>
                <c:pt idx="14">
                  <c:v>2.75</c:v>
                </c:pt>
                <c:pt idx="15">
                  <c:v>2.875</c:v>
                </c:pt>
                <c:pt idx="16">
                  <c:v>3</c:v>
                </c:pt>
                <c:pt idx="17">
                  <c:v>3.125</c:v>
                </c:pt>
                <c:pt idx="18">
                  <c:v>3.25</c:v>
                </c:pt>
                <c:pt idx="19">
                  <c:v>3.375</c:v>
                </c:pt>
                <c:pt idx="20">
                  <c:v>3.5</c:v>
                </c:pt>
                <c:pt idx="21">
                  <c:v>3.625</c:v>
                </c:pt>
                <c:pt idx="22">
                  <c:v>3.75</c:v>
                </c:pt>
                <c:pt idx="23">
                  <c:v>3.875</c:v>
                </c:pt>
                <c:pt idx="24">
                  <c:v>4</c:v>
                </c:pt>
                <c:pt idx="25">
                  <c:v>4.125</c:v>
                </c:pt>
                <c:pt idx="26">
                  <c:v>4.25</c:v>
                </c:pt>
                <c:pt idx="27">
                  <c:v>4.375</c:v>
                </c:pt>
                <c:pt idx="28">
                  <c:v>4.5</c:v>
                </c:pt>
                <c:pt idx="29">
                  <c:v>4.625</c:v>
                </c:pt>
                <c:pt idx="30">
                  <c:v>4.75</c:v>
                </c:pt>
                <c:pt idx="31">
                  <c:v>4.875</c:v>
                </c:pt>
                <c:pt idx="32">
                  <c:v>5</c:v>
                </c:pt>
                <c:pt idx="33">
                  <c:v>5.125</c:v>
                </c:pt>
                <c:pt idx="34">
                  <c:v>5.25</c:v>
                </c:pt>
                <c:pt idx="35">
                  <c:v>5.375</c:v>
                </c:pt>
                <c:pt idx="36">
                  <c:v>5.5</c:v>
                </c:pt>
                <c:pt idx="37">
                  <c:v>5.625</c:v>
                </c:pt>
                <c:pt idx="38">
                  <c:v>5.75</c:v>
                </c:pt>
                <c:pt idx="39">
                  <c:v>5.875</c:v>
                </c:pt>
                <c:pt idx="40">
                  <c:v>6</c:v>
                </c:pt>
                <c:pt idx="41">
                  <c:v>6.125</c:v>
                </c:pt>
                <c:pt idx="42">
                  <c:v>6.25</c:v>
                </c:pt>
                <c:pt idx="43">
                  <c:v>6.375</c:v>
                </c:pt>
                <c:pt idx="44">
                  <c:v>6.5</c:v>
                </c:pt>
                <c:pt idx="45">
                  <c:v>6.625</c:v>
                </c:pt>
                <c:pt idx="46">
                  <c:v>6.75</c:v>
                </c:pt>
                <c:pt idx="47">
                  <c:v>6.875</c:v>
                </c:pt>
                <c:pt idx="48">
                  <c:v>7</c:v>
                </c:pt>
                <c:pt idx="49">
                  <c:v>7.125</c:v>
                </c:pt>
                <c:pt idx="50">
                  <c:v>7.25</c:v>
                </c:pt>
                <c:pt idx="51">
                  <c:v>7.375</c:v>
                </c:pt>
                <c:pt idx="52">
                  <c:v>7.5</c:v>
                </c:pt>
                <c:pt idx="53">
                  <c:v>7.625</c:v>
                </c:pt>
                <c:pt idx="54">
                  <c:v>7.75</c:v>
                </c:pt>
                <c:pt idx="55">
                  <c:v>7.875</c:v>
                </c:pt>
                <c:pt idx="56">
                  <c:v>8</c:v>
                </c:pt>
                <c:pt idx="57">
                  <c:v>8.125</c:v>
                </c:pt>
                <c:pt idx="58">
                  <c:v>8.25</c:v>
                </c:pt>
                <c:pt idx="59">
                  <c:v>8.375</c:v>
                </c:pt>
                <c:pt idx="60">
                  <c:v>8.5</c:v>
                </c:pt>
                <c:pt idx="61">
                  <c:v>8.625</c:v>
                </c:pt>
                <c:pt idx="62">
                  <c:v>8.75</c:v>
                </c:pt>
                <c:pt idx="63">
                  <c:v>8.875</c:v>
                </c:pt>
                <c:pt idx="64">
                  <c:v>9</c:v>
                </c:pt>
                <c:pt idx="65">
                  <c:v>9.125</c:v>
                </c:pt>
                <c:pt idx="66">
                  <c:v>9.25</c:v>
                </c:pt>
                <c:pt idx="67">
                  <c:v>9.375</c:v>
                </c:pt>
                <c:pt idx="68">
                  <c:v>9.5</c:v>
                </c:pt>
                <c:pt idx="69">
                  <c:v>9.625</c:v>
                </c:pt>
                <c:pt idx="70">
                  <c:v>9.75</c:v>
                </c:pt>
                <c:pt idx="71">
                  <c:v>9.875</c:v>
                </c:pt>
                <c:pt idx="72">
                  <c:v>10</c:v>
                </c:pt>
                <c:pt idx="73">
                  <c:v>10.125</c:v>
                </c:pt>
                <c:pt idx="74">
                  <c:v>10.25</c:v>
                </c:pt>
                <c:pt idx="75">
                  <c:v>10.375</c:v>
                </c:pt>
                <c:pt idx="76">
                  <c:v>10.5</c:v>
                </c:pt>
                <c:pt idx="77">
                  <c:v>10.625</c:v>
                </c:pt>
                <c:pt idx="78">
                  <c:v>10.75</c:v>
                </c:pt>
                <c:pt idx="79">
                  <c:v>10.875</c:v>
                </c:pt>
                <c:pt idx="80">
                  <c:v>11</c:v>
                </c:pt>
                <c:pt idx="81">
                  <c:v>11.125</c:v>
                </c:pt>
                <c:pt idx="82">
                  <c:v>11.25</c:v>
                </c:pt>
                <c:pt idx="83">
                  <c:v>11.375</c:v>
                </c:pt>
                <c:pt idx="84">
                  <c:v>11.5</c:v>
                </c:pt>
                <c:pt idx="85">
                  <c:v>11.625</c:v>
                </c:pt>
                <c:pt idx="86">
                  <c:v>11.75</c:v>
                </c:pt>
                <c:pt idx="87">
                  <c:v>11.875</c:v>
                </c:pt>
                <c:pt idx="88">
                  <c:v>12</c:v>
                </c:pt>
                <c:pt idx="89">
                  <c:v>12.125</c:v>
                </c:pt>
                <c:pt idx="90">
                  <c:v>12.25</c:v>
                </c:pt>
                <c:pt idx="91">
                  <c:v>12.375</c:v>
                </c:pt>
                <c:pt idx="92">
                  <c:v>12.5</c:v>
                </c:pt>
                <c:pt idx="93">
                  <c:v>12.625</c:v>
                </c:pt>
                <c:pt idx="94">
                  <c:v>12.75</c:v>
                </c:pt>
                <c:pt idx="95">
                  <c:v>12.875</c:v>
                </c:pt>
                <c:pt idx="96">
                  <c:v>13</c:v>
                </c:pt>
                <c:pt idx="97">
                  <c:v>13.125</c:v>
                </c:pt>
                <c:pt idx="98">
                  <c:v>13.25</c:v>
                </c:pt>
                <c:pt idx="99">
                  <c:v>13.375</c:v>
                </c:pt>
                <c:pt idx="100">
                  <c:v>13.5</c:v>
                </c:pt>
                <c:pt idx="101">
                  <c:v>13.625</c:v>
                </c:pt>
                <c:pt idx="102">
                  <c:v>13.75</c:v>
                </c:pt>
                <c:pt idx="103">
                  <c:v>13.875</c:v>
                </c:pt>
                <c:pt idx="104">
                  <c:v>14</c:v>
                </c:pt>
                <c:pt idx="105">
                  <c:v>14.125</c:v>
                </c:pt>
                <c:pt idx="106">
                  <c:v>14.25</c:v>
                </c:pt>
                <c:pt idx="107">
                  <c:v>14.375</c:v>
                </c:pt>
                <c:pt idx="108">
                  <c:v>14.5</c:v>
                </c:pt>
                <c:pt idx="109">
                  <c:v>14.625</c:v>
                </c:pt>
                <c:pt idx="110">
                  <c:v>14.75</c:v>
                </c:pt>
                <c:pt idx="111">
                  <c:v>14.875</c:v>
                </c:pt>
                <c:pt idx="112">
                  <c:v>15</c:v>
                </c:pt>
                <c:pt idx="113">
                  <c:v>15.125</c:v>
                </c:pt>
                <c:pt idx="114">
                  <c:v>15.25</c:v>
                </c:pt>
                <c:pt idx="115">
                  <c:v>15.375</c:v>
                </c:pt>
                <c:pt idx="116">
                  <c:v>15.5</c:v>
                </c:pt>
                <c:pt idx="117">
                  <c:v>15.625</c:v>
                </c:pt>
                <c:pt idx="118">
                  <c:v>15.75</c:v>
                </c:pt>
                <c:pt idx="119">
                  <c:v>15.875</c:v>
                </c:pt>
                <c:pt idx="120">
                  <c:v>16</c:v>
                </c:pt>
                <c:pt idx="121">
                  <c:v>16.125</c:v>
                </c:pt>
                <c:pt idx="122">
                  <c:v>16.25</c:v>
                </c:pt>
                <c:pt idx="123">
                  <c:v>16.375</c:v>
                </c:pt>
                <c:pt idx="124">
                  <c:v>16.5</c:v>
                </c:pt>
                <c:pt idx="125">
                  <c:v>16.625</c:v>
                </c:pt>
                <c:pt idx="126">
                  <c:v>16.75</c:v>
                </c:pt>
                <c:pt idx="127">
                  <c:v>16.875</c:v>
                </c:pt>
                <c:pt idx="128">
                  <c:v>17</c:v>
                </c:pt>
                <c:pt idx="129">
                  <c:v>17.125</c:v>
                </c:pt>
                <c:pt idx="130">
                  <c:v>17.25</c:v>
                </c:pt>
                <c:pt idx="131">
                  <c:v>17.375</c:v>
                </c:pt>
                <c:pt idx="132">
                  <c:v>17.5</c:v>
                </c:pt>
                <c:pt idx="133">
                  <c:v>17.625</c:v>
                </c:pt>
                <c:pt idx="134">
                  <c:v>17.75</c:v>
                </c:pt>
                <c:pt idx="135">
                  <c:v>17.875</c:v>
                </c:pt>
                <c:pt idx="136">
                  <c:v>18</c:v>
                </c:pt>
                <c:pt idx="137">
                  <c:v>18.125</c:v>
                </c:pt>
                <c:pt idx="138">
                  <c:v>18.25</c:v>
                </c:pt>
                <c:pt idx="139">
                  <c:v>18.375</c:v>
                </c:pt>
                <c:pt idx="140">
                  <c:v>18.5</c:v>
                </c:pt>
                <c:pt idx="141">
                  <c:v>18.625</c:v>
                </c:pt>
                <c:pt idx="142">
                  <c:v>18.75</c:v>
                </c:pt>
                <c:pt idx="143">
                  <c:v>18.875</c:v>
                </c:pt>
                <c:pt idx="144">
                  <c:v>19</c:v>
                </c:pt>
                <c:pt idx="145">
                  <c:v>19.125</c:v>
                </c:pt>
                <c:pt idx="146">
                  <c:v>19.25</c:v>
                </c:pt>
                <c:pt idx="147">
                  <c:v>19.375</c:v>
                </c:pt>
                <c:pt idx="148">
                  <c:v>19.5</c:v>
                </c:pt>
                <c:pt idx="149">
                  <c:v>19.625</c:v>
                </c:pt>
                <c:pt idx="150">
                  <c:v>19.75</c:v>
                </c:pt>
                <c:pt idx="151">
                  <c:v>19.875</c:v>
                </c:pt>
                <c:pt idx="152">
                  <c:v>20</c:v>
                </c:pt>
                <c:pt idx="153">
                  <c:v>20.125</c:v>
                </c:pt>
                <c:pt idx="154">
                  <c:v>20.25</c:v>
                </c:pt>
                <c:pt idx="155">
                  <c:v>20.375</c:v>
                </c:pt>
                <c:pt idx="156">
                  <c:v>20.5</c:v>
                </c:pt>
                <c:pt idx="157">
                  <c:v>20.625</c:v>
                </c:pt>
                <c:pt idx="158">
                  <c:v>20.75</c:v>
                </c:pt>
                <c:pt idx="159">
                  <c:v>20.875</c:v>
                </c:pt>
                <c:pt idx="160">
                  <c:v>21</c:v>
                </c:pt>
                <c:pt idx="161">
                  <c:v>21.125</c:v>
                </c:pt>
                <c:pt idx="162">
                  <c:v>21.25</c:v>
                </c:pt>
                <c:pt idx="163">
                  <c:v>21.375</c:v>
                </c:pt>
                <c:pt idx="164">
                  <c:v>21.5</c:v>
                </c:pt>
                <c:pt idx="165">
                  <c:v>21.625</c:v>
                </c:pt>
                <c:pt idx="166">
                  <c:v>21.75</c:v>
                </c:pt>
                <c:pt idx="167">
                  <c:v>21.875</c:v>
                </c:pt>
                <c:pt idx="168">
                  <c:v>22</c:v>
                </c:pt>
                <c:pt idx="169">
                  <c:v>22.125</c:v>
                </c:pt>
                <c:pt idx="170">
                  <c:v>22.25</c:v>
                </c:pt>
                <c:pt idx="171">
                  <c:v>22.375</c:v>
                </c:pt>
                <c:pt idx="172">
                  <c:v>22.5</c:v>
                </c:pt>
                <c:pt idx="173">
                  <c:v>22.625</c:v>
                </c:pt>
                <c:pt idx="174">
                  <c:v>22.75</c:v>
                </c:pt>
                <c:pt idx="175">
                  <c:v>22.875</c:v>
                </c:pt>
                <c:pt idx="176">
                  <c:v>23</c:v>
                </c:pt>
                <c:pt idx="177">
                  <c:v>23.125</c:v>
                </c:pt>
                <c:pt idx="178">
                  <c:v>23.25</c:v>
                </c:pt>
                <c:pt idx="179">
                  <c:v>23.375</c:v>
                </c:pt>
                <c:pt idx="180">
                  <c:v>23.5</c:v>
                </c:pt>
                <c:pt idx="181">
                  <c:v>23.625</c:v>
                </c:pt>
                <c:pt idx="182">
                  <c:v>23.75</c:v>
                </c:pt>
                <c:pt idx="183">
                  <c:v>23.875</c:v>
                </c:pt>
                <c:pt idx="184">
                  <c:v>24</c:v>
                </c:pt>
                <c:pt idx="185">
                  <c:v>24.125</c:v>
                </c:pt>
                <c:pt idx="186">
                  <c:v>24.25</c:v>
                </c:pt>
                <c:pt idx="187">
                  <c:v>24.375</c:v>
                </c:pt>
                <c:pt idx="188">
                  <c:v>24.5</c:v>
                </c:pt>
                <c:pt idx="189">
                  <c:v>24.625</c:v>
                </c:pt>
                <c:pt idx="190">
                  <c:v>24.75</c:v>
                </c:pt>
                <c:pt idx="191">
                  <c:v>24.875</c:v>
                </c:pt>
                <c:pt idx="192">
                  <c:v>25</c:v>
                </c:pt>
                <c:pt idx="193">
                  <c:v>25.125</c:v>
                </c:pt>
                <c:pt idx="194">
                  <c:v>25.25</c:v>
                </c:pt>
                <c:pt idx="195">
                  <c:v>25.375</c:v>
                </c:pt>
                <c:pt idx="196">
                  <c:v>25.5</c:v>
                </c:pt>
                <c:pt idx="197">
                  <c:v>25.625</c:v>
                </c:pt>
                <c:pt idx="198">
                  <c:v>25.75</c:v>
                </c:pt>
                <c:pt idx="199">
                  <c:v>25.875</c:v>
                </c:pt>
                <c:pt idx="200">
                  <c:v>26</c:v>
                </c:pt>
                <c:pt idx="201">
                  <c:v>26.125</c:v>
                </c:pt>
                <c:pt idx="202">
                  <c:v>26.25</c:v>
                </c:pt>
                <c:pt idx="203">
                  <c:v>26.375</c:v>
                </c:pt>
                <c:pt idx="204">
                  <c:v>26.5</c:v>
                </c:pt>
                <c:pt idx="205">
                  <c:v>26.625</c:v>
                </c:pt>
                <c:pt idx="206">
                  <c:v>26.75</c:v>
                </c:pt>
                <c:pt idx="207">
                  <c:v>26.875</c:v>
                </c:pt>
                <c:pt idx="208">
                  <c:v>27</c:v>
                </c:pt>
                <c:pt idx="209">
                  <c:v>27.125</c:v>
                </c:pt>
                <c:pt idx="210">
                  <c:v>27.25</c:v>
                </c:pt>
                <c:pt idx="211">
                  <c:v>27.375</c:v>
                </c:pt>
                <c:pt idx="212">
                  <c:v>27.5</c:v>
                </c:pt>
                <c:pt idx="213">
                  <c:v>27.625</c:v>
                </c:pt>
                <c:pt idx="214">
                  <c:v>27.75</c:v>
                </c:pt>
                <c:pt idx="215">
                  <c:v>27.875</c:v>
                </c:pt>
                <c:pt idx="216">
                  <c:v>28</c:v>
                </c:pt>
                <c:pt idx="217">
                  <c:v>28.125</c:v>
                </c:pt>
                <c:pt idx="218">
                  <c:v>28.25</c:v>
                </c:pt>
                <c:pt idx="219">
                  <c:v>28.375</c:v>
                </c:pt>
                <c:pt idx="220">
                  <c:v>28.5</c:v>
                </c:pt>
                <c:pt idx="221">
                  <c:v>28.625</c:v>
                </c:pt>
                <c:pt idx="222">
                  <c:v>28.75</c:v>
                </c:pt>
                <c:pt idx="223">
                  <c:v>28.875</c:v>
                </c:pt>
                <c:pt idx="224">
                  <c:v>29</c:v>
                </c:pt>
                <c:pt idx="225">
                  <c:v>29.125</c:v>
                </c:pt>
                <c:pt idx="226">
                  <c:v>29.25</c:v>
                </c:pt>
                <c:pt idx="227">
                  <c:v>29.375</c:v>
                </c:pt>
                <c:pt idx="228">
                  <c:v>29.5</c:v>
                </c:pt>
                <c:pt idx="229">
                  <c:v>29.625</c:v>
                </c:pt>
                <c:pt idx="230">
                  <c:v>29.75</c:v>
                </c:pt>
                <c:pt idx="231">
                  <c:v>29.875</c:v>
                </c:pt>
                <c:pt idx="232">
                  <c:v>30</c:v>
                </c:pt>
                <c:pt idx="233">
                  <c:v>30.125</c:v>
                </c:pt>
                <c:pt idx="234">
                  <c:v>30.25</c:v>
                </c:pt>
                <c:pt idx="235">
                  <c:v>30.375</c:v>
                </c:pt>
                <c:pt idx="236">
                  <c:v>30.5</c:v>
                </c:pt>
                <c:pt idx="237">
                  <c:v>30.625</c:v>
                </c:pt>
                <c:pt idx="238">
                  <c:v>30.75</c:v>
                </c:pt>
                <c:pt idx="239">
                  <c:v>30.875</c:v>
                </c:pt>
                <c:pt idx="240">
                  <c:v>31</c:v>
                </c:pt>
                <c:pt idx="241">
                  <c:v>31.125</c:v>
                </c:pt>
                <c:pt idx="242">
                  <c:v>31.25</c:v>
                </c:pt>
                <c:pt idx="243">
                  <c:v>31.375</c:v>
                </c:pt>
                <c:pt idx="244">
                  <c:v>31.5</c:v>
                </c:pt>
                <c:pt idx="245">
                  <c:v>31.625</c:v>
                </c:pt>
                <c:pt idx="246">
                  <c:v>31.75</c:v>
                </c:pt>
                <c:pt idx="247">
                  <c:v>31.875</c:v>
                </c:pt>
                <c:pt idx="248">
                  <c:v>32</c:v>
                </c:pt>
              </c:numCache>
            </c:numRef>
          </c:xVal>
          <c:yVal>
            <c:numRef>
              <c:f>topo!$J$2:$J$250</c:f>
              <c:numCache>
                <c:formatCode>General</c:formatCode>
                <c:ptCount val="249"/>
                <c:pt idx="0">
                  <c:v>28.0287694159073</c:v>
                </c:pt>
                <c:pt idx="1">
                  <c:v>29.3094688641183</c:v>
                </c:pt>
                <c:pt idx="2">
                  <c:v>30.6079890075805</c:v>
                </c:pt>
                <c:pt idx="3">
                  <c:v>31.9232845718826</c:v>
                </c:pt>
                <c:pt idx="4">
                  <c:v>33.2542921126154</c:v>
                </c:pt>
                <c:pt idx="5">
                  <c:v>34.5999310966618</c:v>
                </c:pt>
                <c:pt idx="6">
                  <c:v>35.9591049726409</c:v>
                </c:pt>
                <c:pt idx="7">
                  <c:v>37.3307022288234</c:v>
                </c:pt>
                <c:pt idx="8">
                  <c:v>38.7135974385046</c:v>
                </c:pt>
                <c:pt idx="9">
                  <c:v>40.1066522923342</c:v>
                </c:pt>
                <c:pt idx="10">
                  <c:v>41.5087166187989</c:v>
                </c:pt>
                <c:pt idx="11">
                  <c:v>42.9186293932217</c:v>
                </c:pt>
                <c:pt idx="12">
                  <c:v>44.3352197372775</c:v>
                </c:pt>
                <c:pt idx="13">
                  <c:v>45.7573079104127</c:v>
                </c:pt>
                <c:pt idx="14">
                  <c:v>47.1837062961826</c:v>
                </c:pt>
                <c:pt idx="15">
                  <c:v>48.6132203854686</c:v>
                </c:pt>
                <c:pt idx="16">
                  <c:v>50.044649759793</c:v>
                </c:pt>
                <c:pt idx="17">
                  <c:v>51.476789077993</c:v>
                </c:pt>
                <c:pt idx="18">
                  <c:v>52.9084290692879</c:v>
                </c:pt>
                <c:pt idx="19">
                  <c:v>54.3383575366391</c:v>
                </c:pt>
                <c:pt idx="20">
                  <c:v>55.765360373262</c:v>
                </c:pt>
                <c:pt idx="21">
                  <c:v>57.1882225964146</c:v>
                </c:pt>
                <c:pt idx="22">
                  <c:v>58.6057294014216</c:v>
                </c:pt>
                <c:pt idx="23">
                  <c:v>60.0166672394353</c:v>
                </c:pt>
                <c:pt idx="24">
                  <c:v>61.4198249218845</c:v>
                </c:pt>
                <c:pt idx="25">
                  <c:v>62.8139947544218</c:v>
                </c:pt>
                <c:pt idx="26">
                  <c:v>64.1979737028955</c:v>
                </c:pt>
                <c:pt idx="27">
                  <c:v>65.5705645933671</c:v>
                </c:pt>
                <c:pt idx="28">
                  <c:v>66.9305773479519</c:v>
                </c:pt>
                <c:pt idx="29">
                  <c:v>68.2768302573597</c:v>
                </c:pt>
                <c:pt idx="30">
                  <c:v>69.6081512914152</c:v>
                </c:pt>
                <c:pt idx="31">
                  <c:v>70.9233794467562</c:v>
                </c:pt>
                <c:pt idx="32">
                  <c:v>72.2213661322152</c:v>
                </c:pt>
                <c:pt idx="33">
                  <c:v>73.5009765898402</c:v>
                </c:pt>
                <c:pt idx="34">
                  <c:v>74.7610913504555</c:v>
                </c:pt>
                <c:pt idx="35">
                  <c:v>76.0006077209936</c:v>
                </c:pt>
                <c:pt idx="36">
                  <c:v>77.2184413006132</c:v>
                </c:pt>
                <c:pt idx="37">
                  <c:v>78.4135275218794</c:v>
                </c:pt>
                <c:pt idx="38">
                  <c:v>79.5848232125261</c:v>
                </c:pt>
                <c:pt idx="39">
                  <c:v>80.7313081728414</c:v>
                </c:pt>
                <c:pt idx="40">
                  <c:v>81.8519867629538</c:v>
                </c:pt>
                <c:pt idx="41">
                  <c:v>82.9458894938906</c:v>
                </c:pt>
                <c:pt idx="42">
                  <c:v>84.0120746154377</c:v>
                </c:pt>
                <c:pt idx="43">
                  <c:v>85.0496296937271</c:v>
                </c:pt>
                <c:pt idx="44">
                  <c:v>86.0576731708319</c:v>
                </c:pt>
                <c:pt idx="45">
                  <c:v>87.0353558981562</c:v>
                </c:pt>
                <c:pt idx="46">
                  <c:v>87.9818626353084</c:v>
                </c:pt>
                <c:pt idx="47">
                  <c:v>88.8964135058581</c:v>
                </c:pt>
                <c:pt idx="48">
                  <c:v>89.7782654013368</c:v>
                </c:pt>
                <c:pt idx="49">
                  <c:v>90.6267133242998</c:v>
                </c:pt>
                <c:pt idx="50">
                  <c:v>91.4410916620625</c:v>
                </c:pt>
                <c:pt idx="51">
                  <c:v>92.2207753822077</c:v>
                </c:pt>
                <c:pt idx="52">
                  <c:v>92.9651811413122</c:v>
                </c:pt>
                <c:pt idx="53">
                  <c:v>93.6737682990394</c:v>
                </c:pt>
                <c:pt idx="54">
                  <c:v>94.346039829516</c:v>
                </c:pt>
                <c:pt idx="55">
                  <c:v>94.9815431228376</c:v>
                </c:pt>
                <c:pt idx="56">
                  <c:v>95.5798706700652</c:v>
                </c:pt>
                <c:pt idx="57">
                  <c:v>96.1406606255627</c:v>
                </c:pt>
                <c:pt idx="58">
                  <c:v>96.6635972415256</c:v>
                </c:pt>
                <c:pt idx="59">
                  <c:v>97.1484111700052</c:v>
                </c:pt>
                <c:pt idx="60">
                  <c:v>97.5948796290291</c:v>
                </c:pt>
                <c:pt idx="61">
                  <c:v>98.0028264300066</c:v>
                </c:pt>
                <c:pt idx="62">
                  <c:v>98.3721218647705</c:v>
                </c:pt>
                <c:pt idx="63">
                  <c:v>98.7026824514426</c:v>
                </c:pt>
                <c:pt idx="64">
                  <c:v>98.9944705396048</c:v>
                </c:pt>
                <c:pt idx="65">
                  <c:v>99.2474937759681</c:v>
                </c:pt>
                <c:pt idx="66">
                  <c:v>99.4618044329751</c:v>
                </c:pt>
                <c:pt idx="67">
                  <c:v>99.6374986037763</c:v>
                </c:pt>
                <c:pt idx="68">
                  <c:v>99.7747152678618</c:v>
                </c:pt>
                <c:pt idx="69">
                  <c:v>99.8736352328249</c:v>
                </c:pt>
                <c:pt idx="70">
                  <c:v>99.9344799583404</c:v>
                </c:pt>
                <c:pt idx="71">
                  <c:v>99.9575102695563</c:v>
                </c:pt>
                <c:pt idx="72">
                  <c:v>99.9430249676802</c:v>
                </c:pt>
                <c:pt idx="73">
                  <c:v>99.8913593463309</c:v>
                </c:pt>
                <c:pt idx="74">
                  <c:v>99.802883622796</c:v>
                </c:pt>
                <c:pt idx="75">
                  <c:v>99.6780012938414</c:v>
                </c:pt>
                <c:pt idx="76">
                  <c:v>99.5171474261901</c:v>
                </c:pt>
                <c:pt idx="77">
                  <c:v>99.3207868920383</c:v>
                </c:pt>
                <c:pt idx="78">
                  <c:v>99.0894125602276</c:v>
                </c:pt>
                <c:pt idx="79">
                  <c:v>98.8235434538401</c:v>
                </c:pt>
                <c:pt idx="80">
                  <c:v>98.5237228849112</c:v>
                </c:pt>
                <c:pt idx="81">
                  <c:v>98.1905165769751</c:v>
                </c:pt>
                <c:pt idx="82">
                  <c:v>97.8245107858316</c:v>
                </c:pt>
                <c:pt idx="83">
                  <c:v>97.4263104288919</c:v>
                </c:pt>
                <c:pt idx="84">
                  <c:v>96.9965372327644</c:v>
                </c:pt>
                <c:pt idx="85">
                  <c:v>96.5358279086751</c:v>
                </c:pt>
                <c:pt idx="86">
                  <c:v>96.0448323645189</c:v>
                </c:pt>
                <c:pt idx="87">
                  <c:v>95.5242119618824</c:v>
                </c:pt>
                <c:pt idx="88">
                  <c:v>94.9746378258042</c:v>
                </c:pt>
                <c:pt idx="89">
                  <c:v>94.3967892143436</c:v>
                </c:pt>
                <c:pt idx="90">
                  <c:v>93.7913519542048</c:v>
                </c:pt>
                <c:pt idx="91">
                  <c:v>93.1590169480561</c:v>
                </c:pt>
                <c:pt idx="92">
                  <c:v>92.5004787585661</c:v>
                </c:pt>
                <c:pt idx="93">
                  <c:v>91.816434272944</c:v>
                </c:pt>
                <c:pt idx="94">
                  <c:v>91.1075814516594</c:v>
                </c:pt>
                <c:pt idx="95">
                  <c:v>90.3746181636826</c:v>
                </c:pt>
                <c:pt idx="96">
                  <c:v>89.6182411103116</c:v>
                </c:pt>
                <c:pt idx="97">
                  <c:v>88.8391448385289</c:v>
                </c:pt>
                <c:pt idx="98">
                  <c:v>88.0380208444238</c:v>
                </c:pt>
                <c:pt idx="99">
                  <c:v>87.2155567666507</c:v>
                </c:pt>
                <c:pt idx="100">
                  <c:v>86.3724356687194</c:v>
                </c:pt>
                <c:pt idx="101">
                  <c:v>85.5093354091514</c:v>
                </c:pt>
                <c:pt idx="102">
                  <c:v>84.6269280972795</c:v>
                </c:pt>
                <c:pt idx="103">
                  <c:v>83.7258796325962</c:v>
                </c:pt>
                <c:pt idx="104">
                  <c:v>82.8068493244599</c:v>
                </c:pt>
                <c:pt idx="105">
                  <c:v>81.8704895894679</c:v>
                </c:pt>
                <c:pt idx="106">
                  <c:v>80.9174457224715</c:v>
                </c:pt>
                <c:pt idx="107">
                  <c:v>79.9483557378949</c:v>
                </c:pt>
                <c:pt idx="108">
                  <c:v>78.9638502770873</c:v>
                </c:pt>
                <c:pt idx="109">
                  <c:v>77.964552577822</c:v>
                </c:pt>
                <c:pt idx="110">
                  <c:v>76.9510785013991</c:v>
                </c:pt>
                <c:pt idx="111">
                  <c:v>75.9240366131793</c:v>
                </c:pt>
                <c:pt idx="112">
                  <c:v>74.8840283123229</c:v>
                </c:pt>
                <c:pt idx="113">
                  <c:v>73.8316480060858</c:v>
                </c:pt>
                <c:pt idx="114">
                  <c:v>72.7674833247855</c:v>
                </c:pt>
                <c:pt idx="115">
                  <c:v>71.6921153727975</c:v>
                </c:pt>
                <c:pt idx="116">
                  <c:v>70.6061190121771</c:v>
                </c:pt>
                <c:pt idx="117">
                  <c:v>69.5100631742918</c:v>
                </c:pt>
                <c:pt idx="118">
                  <c:v>68.4045111964974</c:v>
                </c:pt>
                <c:pt idx="119">
                  <c:v>67.2900211795855</c:v>
                </c:pt>
                <c:pt idx="120">
                  <c:v>66.1671463635111</c:v>
                </c:pt>
                <c:pt idx="121">
                  <c:v>65.0364355176837</c:v>
                </c:pt>
                <c:pt idx="122">
                  <c:v>63.8984333435067</c:v>
                </c:pt>
                <c:pt idx="123">
                  <c:v>62.7536808864009</c:v>
                </c:pt>
                <c:pt idx="124">
                  <c:v>61.6027159548135</c:v>
                </c:pt>
                <c:pt idx="125">
                  <c:v>60.4460735447816</c:v>
                </c:pt>
                <c:pt idx="126">
                  <c:v>59.2842862675623</c:v>
                </c:pt>
                <c:pt idx="127">
                  <c:v>58.1178847792578</c:v>
                </c:pt>
                <c:pt idx="128">
                  <c:v>56.9473982108008</c:v>
                </c:pt>
                <c:pt idx="129">
                  <c:v>55.7733545975443</c:v>
                </c:pt>
                <c:pt idx="130">
                  <c:v>54.5962813071286</c:v>
                </c:pt>
                <c:pt idx="131">
                  <c:v>53.4167054652454</c:v>
                </c:pt>
                <c:pt idx="132">
                  <c:v>52.2351543785736</c:v>
                </c:pt>
                <c:pt idx="133">
                  <c:v>51.0521559544904</c:v>
                </c:pt>
                <c:pt idx="134">
                  <c:v>49.8682391173146</c:v>
                </c:pt>
                <c:pt idx="135">
                  <c:v>48.6839342207258</c:v>
                </c:pt>
                <c:pt idx="136">
                  <c:v>47.4997734565001</c:v>
                </c:pt>
                <c:pt idx="137">
                  <c:v>46.3162912590039</c:v>
                </c:pt>
                <c:pt idx="138">
                  <c:v>45.1340247058866</c:v>
                </c:pt>
                <c:pt idx="139">
                  <c:v>43.9535139143878</c:v>
                </c:pt>
                <c:pt idx="140">
                  <c:v>42.7753024334226</c:v>
                </c:pt>
                <c:pt idx="141">
                  <c:v>41.5999376309788</c:v>
                </c:pt>
                <c:pt idx="142">
                  <c:v>40.4279710768113</c:v>
                </c:pt>
                <c:pt idx="143">
                  <c:v>39.2599589197108</c:v>
                </c:pt>
                <c:pt idx="144">
                  <c:v>38.0964622588045</c:v>
                </c:pt>
                <c:pt idx="145">
                  <c:v>36.9380475082742</c:v>
                </c:pt>
                <c:pt idx="146">
                  <c:v>35.7852867545424</c:v>
                </c:pt>
                <c:pt idx="147">
                  <c:v>34.6387581046096</c:v>
                </c:pt>
                <c:pt idx="148">
                  <c:v>33.499046024282</c:v>
                </c:pt>
                <c:pt idx="149">
                  <c:v>32.3667416648579</c:v>
                </c:pt>
                <c:pt idx="150">
                  <c:v>31.2424431760103</c:v>
                </c:pt>
                <c:pt idx="151">
                  <c:v>30.1267560033868</c:v>
                </c:pt>
                <c:pt idx="152">
                  <c:v>29.0202931677991</c:v>
                </c:pt>
                <c:pt idx="153">
                  <c:v>27.9236755242259</c:v>
                </c:pt>
                <c:pt idx="154">
                  <c:v>26.8375319970238</c:v>
                </c:pt>
                <c:pt idx="155">
                  <c:v>25.7624997888978</c:v>
                </c:pt>
                <c:pt idx="156">
                  <c:v>24.699224559645</c:v>
                </c:pt>
                <c:pt idx="157">
                  <c:v>23.6483605716647</c:v>
                </c:pt>
                <c:pt idx="158">
                  <c:v>22.6105707980403</c:v>
                </c:pt>
                <c:pt idx="159">
                  <c:v>21.5865269895923</c:v>
                </c:pt>
                <c:pt idx="160">
                  <c:v>20.5769096964736</c:v>
                </c:pt>
                <c:pt idx="161">
                  <c:v>19.5824082402184</c:v>
                </c:pt>
                <c:pt idx="162">
                  <c:v>18.6037206320252</c:v>
                </c:pt>
                <c:pt idx="163">
                  <c:v>17.6415534326369</c:v>
                </c:pt>
                <c:pt idx="164">
                  <c:v>16.6966215496582</c:v>
                </c:pt>
                <c:pt idx="165">
                  <c:v>15.769647967766</c:v>
                </c:pt>
                <c:pt idx="166">
                  <c:v>14.8613634077929</c:v>
                </c:pt>
                <c:pt idx="167">
                  <c:v>13.9725059101566</c:v>
                </c:pt>
                <c:pt idx="168">
                  <c:v>13.103820339209</c:v>
                </c:pt>
                <c:pt idx="169">
                  <c:v>12.2560578041659</c:v>
                </c:pt>
                <c:pt idx="170">
                  <c:v>11.4299749938948</c:v>
                </c:pt>
                <c:pt idx="171">
                  <c:v>10.6263334219408</c:v>
                </c:pt>
                <c:pt idx="172">
                  <c:v>9.84589857963107</c:v>
                </c:pt>
                <c:pt idx="173">
                  <c:v>9.08943899481568</c:v>
                </c:pt>
                <c:pt idx="174">
                  <c:v>8.35772519485338</c:v>
                </c:pt>
                <c:pt idx="175">
                  <c:v>7.65152857279644</c:v>
                </c:pt>
                <c:pt idx="176">
                  <c:v>6.97162015647007</c:v>
                </c:pt>
                <c:pt idx="177">
                  <c:v>6.31876928084281</c:v>
                </c:pt>
                <c:pt idx="178">
                  <c:v>5.69374216478025</c:v>
                </c:pt>
                <c:pt idx="179">
                  <c:v>5.09730039427712</c:v>
                </c:pt>
                <c:pt idx="180">
                  <c:v>4.53019931475679</c:v>
                </c:pt>
                <c:pt idx="181">
                  <c:v>3.99318633625421</c:v>
                </c:pt>
                <c:pt idx="182">
                  <c:v>3.48699915591304</c:v>
                </c:pt>
                <c:pt idx="183">
                  <c:v>3.01236390336946</c:v>
                </c:pt>
                <c:pt idx="184">
                  <c:v>2.56999321522064</c:v>
                </c:pt>
                <c:pt idx="185">
                  <c:v>2.16058424592776</c:v>
                </c:pt>
                <c:pt idx="186">
                  <c:v>1.7848166233113</c:v>
                </c:pt>
                <c:pt idx="187">
                  <c:v>1.44335035749507</c:v>
                </c:pt>
                <c:pt idx="188">
                  <c:v>1.13682371328467</c:v>
                </c:pt>
                <c:pt idx="189">
                  <c:v>0.865851056321132</c:v>
                </c:pt>
                <c:pt idx="190">
                  <c:v>0.631020684492001</c:v>
                </c:pt>
                <c:pt idx="191">
                  <c:v>0.43289265627634</c:v>
                </c:pt>
                <c:pt idx="192">
                  <c:v>0.271996628572824</c:v>
                </c:pt>
                <c:pt idx="193">
                  <c:v>0.148829716757048</c:v>
                </c:pt>
                <c:pt idx="194">
                  <c:v>0.0638543901791244</c:v>
                </c:pt>
                <c:pt idx="195">
                  <c:v>0.0174964164527558</c:v>
                </c:pt>
                <c:pt idx="196">
                  <c:v>0.0101428680044757</c:v>
                </c:pt>
                <c:pt idx="197">
                  <c:v>0.0421402042664332</c:v>
                </c:pt>
                <c:pt idx="198">
                  <c:v>0.113792442754024</c:v>
                </c:pt>
                <c:pt idx="199">
                  <c:v>0.225359431910593</c:v>
                </c:pt>
                <c:pt idx="200">
                  <c:v>0.377055238178931</c:v>
                </c:pt>
                <c:pt idx="201">
                  <c:v>0.569046659092309</c:v>
                </c:pt>
                <c:pt idx="202">
                  <c:v>0.801451873572484</c:v>
                </c:pt>
                <c:pt idx="203">
                  <c:v>1.07433923956919</c:v>
                </c:pt>
                <c:pt idx="204">
                  <c:v>1.38772624841247</c:v>
                </c:pt>
                <c:pt idx="205">
                  <c:v>1.74157864394507</c:v>
                </c:pt>
                <c:pt idx="206">
                  <c:v>2.13580971347573</c:v>
                </c:pt>
                <c:pt idx="207">
                  <c:v>2.57027975620046</c:v>
                </c:pt>
                <c:pt idx="208">
                  <c:v>3.04479573346738</c:v>
                </c:pt>
                <c:pt idx="209">
                  <c:v>3.55911110371986</c:v>
                </c:pt>
                <c:pt idx="210">
                  <c:v>4.11292584371248</c:v>
                </c:pt>
                <c:pt idx="211">
                  <c:v>4.70588665594782</c:v>
                </c:pt>
                <c:pt idx="212">
                  <c:v>5.33758736081052</c:v>
                </c:pt>
                <c:pt idx="213">
                  <c:v>6.00756947061201</c:v>
                </c:pt>
                <c:pt idx="214">
                  <c:v>6.71532294110387</c:v>
                </c:pt>
                <c:pt idx="215">
                  <c:v>7.46028709483356</c:v>
                </c:pt>
                <c:pt idx="216">
                  <c:v>8.24185170923115</c:v>
                </c:pt>
                <c:pt idx="217">
                  <c:v>9.05935826137978</c:v>
                </c:pt>
                <c:pt idx="218">
                  <c:v>9.91210132007402</c:v>
                </c:pt>
                <c:pt idx="219">
                  <c:v>10.7993300747697</c:v>
                </c:pt>
                <c:pt idx="220">
                  <c:v>11.7202499904459</c:v>
                </c:pt>
                <c:pt idx="221">
                  <c:v>12.6740245762801</c:v>
                </c:pt>
                <c:pt idx="222">
                  <c:v>13.659777255787</c:v>
                </c:pt>
                <c:pt idx="223">
                  <c:v>14.6765933252265</c:v>
                </c:pt>
                <c:pt idx="224">
                  <c:v>15.7235219873679</c:v>
                </c:pt>
                <c:pt idx="225">
                  <c:v>16.7995784467284</c:v>
                </c:pt>
                <c:pt idx="226">
                  <c:v>17.9037460534164</c:v>
                </c:pt>
                <c:pt idx="227">
                  <c:v>19.0349784816871</c:v>
                </c:pt>
                <c:pt idx="228">
                  <c:v>20.1922019306967</c:v>
                </c:pt>
                <c:pt idx="229">
                  <c:v>21.3743173344107</c:v>
                </c:pt>
                <c:pt idx="230">
                  <c:v>22.5802025688478</c:v>
                </c:pt>
                <c:pt idx="231">
                  <c:v>23.8087146450463</c:v>
                </c:pt>
                <c:pt idx="232">
                  <c:v>25.0586918768454</c:v>
                </c:pt>
                <c:pt idx="233">
                  <c:v>26.328956013732</c:v>
                </c:pt>
                <c:pt idx="234">
                  <c:v>27.6183143295222</c:v>
                </c:pt>
                <c:pt idx="235">
                  <c:v>28.9255616587511</c:v>
                </c:pt>
                <c:pt idx="236">
                  <c:v>30.2494823734236</c:v>
                </c:pt>
                <c:pt idx="237">
                  <c:v>31.5888522943007</c:v>
                </c:pt>
                <c:pt idx="238">
                  <c:v>32.942440530954</c:v>
                </c:pt>
                <c:pt idx="239">
                  <c:v>34.3090112472597</c:v>
                </c:pt>
                <c:pt idx="240">
                  <c:v>35.6873253482729</c:v>
                </c:pt>
                <c:pt idx="241">
                  <c:v>37.0761420871932</c:v>
                </c:pt>
                <c:pt idx="242">
                  <c:v>38.4742205905588</c:v>
                </c:pt>
                <c:pt idx="243">
                  <c:v>39.8803213020245</c:v>
                </c:pt>
                <c:pt idx="244">
                  <c:v>41.2932073447755</c:v>
                </c:pt>
                <c:pt idx="245">
                  <c:v>42.7116458045853</c:v>
                </c:pt>
                <c:pt idx="246">
                  <c:v>44.1344089351461</c:v>
                </c:pt>
                <c:pt idx="247">
                  <c:v>45.5602752890168</c:v>
                </c:pt>
                <c:pt idx="248">
                  <c:v>46.9880307774761</c:v>
                </c:pt>
              </c:numCache>
            </c:numRef>
          </c:yVal>
          <c:smooth val="0"/>
        </c:ser>
        <c:axId val="60832142"/>
        <c:axId val="24818215"/>
      </c:scatterChart>
      <c:valAx>
        <c:axId val="60832142"/>
        <c:scaling>
          <c:orientation val="minMax"/>
          <c:max val="31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4818215"/>
        <c:crosses val="autoZero"/>
        <c:crossBetween val="between"/>
        <c:majorUnit val="3"/>
      </c:valAx>
      <c:valAx>
        <c:axId val="24818215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0832142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topo!$AY$2:$AY$250</c:f>
              <c:numCache>
                <c:formatCode>General</c:formatCode>
                <c:ptCount val="249"/>
                <c:pt idx="0">
                  <c:v>1</c:v>
                </c:pt>
                <c:pt idx="1">
                  <c:v>1.125</c:v>
                </c:pt>
                <c:pt idx="2">
                  <c:v>1.25</c:v>
                </c:pt>
                <c:pt idx="3">
                  <c:v>1.375</c:v>
                </c:pt>
                <c:pt idx="4">
                  <c:v>1.5</c:v>
                </c:pt>
                <c:pt idx="5">
                  <c:v>1.625</c:v>
                </c:pt>
                <c:pt idx="6">
                  <c:v>1.75</c:v>
                </c:pt>
                <c:pt idx="7">
                  <c:v>1.875</c:v>
                </c:pt>
                <c:pt idx="8">
                  <c:v>2</c:v>
                </c:pt>
                <c:pt idx="9">
                  <c:v>2.125</c:v>
                </c:pt>
                <c:pt idx="10">
                  <c:v>2.25</c:v>
                </c:pt>
                <c:pt idx="11">
                  <c:v>2.375</c:v>
                </c:pt>
                <c:pt idx="12">
                  <c:v>2.5</c:v>
                </c:pt>
                <c:pt idx="13">
                  <c:v>2.625</c:v>
                </c:pt>
                <c:pt idx="14">
                  <c:v>2.75</c:v>
                </c:pt>
                <c:pt idx="15">
                  <c:v>2.875</c:v>
                </c:pt>
                <c:pt idx="16">
                  <c:v>3</c:v>
                </c:pt>
                <c:pt idx="17">
                  <c:v>3.125</c:v>
                </c:pt>
                <c:pt idx="18">
                  <c:v>3.25</c:v>
                </c:pt>
                <c:pt idx="19">
                  <c:v>3.375</c:v>
                </c:pt>
                <c:pt idx="20">
                  <c:v>3.5</c:v>
                </c:pt>
                <c:pt idx="21">
                  <c:v>3.625</c:v>
                </c:pt>
                <c:pt idx="22">
                  <c:v>3.75</c:v>
                </c:pt>
                <c:pt idx="23">
                  <c:v>3.875</c:v>
                </c:pt>
                <c:pt idx="24">
                  <c:v>4</c:v>
                </c:pt>
                <c:pt idx="25">
                  <c:v>4.125</c:v>
                </c:pt>
                <c:pt idx="26">
                  <c:v>4.25</c:v>
                </c:pt>
                <c:pt idx="27">
                  <c:v>4.375</c:v>
                </c:pt>
                <c:pt idx="28">
                  <c:v>4.5</c:v>
                </c:pt>
                <c:pt idx="29">
                  <c:v>4.625</c:v>
                </c:pt>
                <c:pt idx="30">
                  <c:v>4.75</c:v>
                </c:pt>
                <c:pt idx="31">
                  <c:v>4.875</c:v>
                </c:pt>
                <c:pt idx="32">
                  <c:v>5</c:v>
                </c:pt>
                <c:pt idx="33">
                  <c:v>5.125</c:v>
                </c:pt>
                <c:pt idx="34">
                  <c:v>5.25</c:v>
                </c:pt>
                <c:pt idx="35">
                  <c:v>5.375</c:v>
                </c:pt>
                <c:pt idx="36">
                  <c:v>5.5</c:v>
                </c:pt>
                <c:pt idx="37">
                  <c:v>5.625</c:v>
                </c:pt>
                <c:pt idx="38">
                  <c:v>5.75</c:v>
                </c:pt>
                <c:pt idx="39">
                  <c:v>5.875</c:v>
                </c:pt>
                <c:pt idx="40">
                  <c:v>6</c:v>
                </c:pt>
                <c:pt idx="41">
                  <c:v>6.125</c:v>
                </c:pt>
                <c:pt idx="42">
                  <c:v>6.25</c:v>
                </c:pt>
                <c:pt idx="43">
                  <c:v>6.375</c:v>
                </c:pt>
                <c:pt idx="44">
                  <c:v>6.5</c:v>
                </c:pt>
                <c:pt idx="45">
                  <c:v>6.625</c:v>
                </c:pt>
                <c:pt idx="46">
                  <c:v>6.75</c:v>
                </c:pt>
                <c:pt idx="47">
                  <c:v>6.875</c:v>
                </c:pt>
                <c:pt idx="48">
                  <c:v>7</c:v>
                </c:pt>
                <c:pt idx="49">
                  <c:v>7.125</c:v>
                </c:pt>
                <c:pt idx="50">
                  <c:v>7.25</c:v>
                </c:pt>
                <c:pt idx="51">
                  <c:v>7.375</c:v>
                </c:pt>
                <c:pt idx="52">
                  <c:v>7.5</c:v>
                </c:pt>
                <c:pt idx="53">
                  <c:v>7.625</c:v>
                </c:pt>
                <c:pt idx="54">
                  <c:v>7.75</c:v>
                </c:pt>
                <c:pt idx="55">
                  <c:v>7.875</c:v>
                </c:pt>
                <c:pt idx="56">
                  <c:v>8</c:v>
                </c:pt>
                <c:pt idx="57">
                  <c:v>8.125</c:v>
                </c:pt>
                <c:pt idx="58">
                  <c:v>8.25</c:v>
                </c:pt>
                <c:pt idx="59">
                  <c:v>8.375</c:v>
                </c:pt>
                <c:pt idx="60">
                  <c:v>8.5</c:v>
                </c:pt>
                <c:pt idx="61">
                  <c:v>8.625</c:v>
                </c:pt>
                <c:pt idx="62">
                  <c:v>8.75</c:v>
                </c:pt>
                <c:pt idx="63">
                  <c:v>8.875</c:v>
                </c:pt>
                <c:pt idx="64">
                  <c:v>9</c:v>
                </c:pt>
                <c:pt idx="65">
                  <c:v>9.125</c:v>
                </c:pt>
                <c:pt idx="66">
                  <c:v>9.25</c:v>
                </c:pt>
                <c:pt idx="67">
                  <c:v>9.375</c:v>
                </c:pt>
                <c:pt idx="68">
                  <c:v>9.5</c:v>
                </c:pt>
                <c:pt idx="69">
                  <c:v>9.625</c:v>
                </c:pt>
                <c:pt idx="70">
                  <c:v>9.75</c:v>
                </c:pt>
                <c:pt idx="71">
                  <c:v>9.875</c:v>
                </c:pt>
                <c:pt idx="72">
                  <c:v>10</c:v>
                </c:pt>
                <c:pt idx="73">
                  <c:v>10.125</c:v>
                </c:pt>
                <c:pt idx="74">
                  <c:v>10.25</c:v>
                </c:pt>
                <c:pt idx="75">
                  <c:v>10.375</c:v>
                </c:pt>
                <c:pt idx="76">
                  <c:v>10.5</c:v>
                </c:pt>
                <c:pt idx="77">
                  <c:v>10.625</c:v>
                </c:pt>
                <c:pt idx="78">
                  <c:v>10.75</c:v>
                </c:pt>
                <c:pt idx="79">
                  <c:v>10.875</c:v>
                </c:pt>
                <c:pt idx="80">
                  <c:v>11</c:v>
                </c:pt>
                <c:pt idx="81">
                  <c:v>11.125</c:v>
                </c:pt>
                <c:pt idx="82">
                  <c:v>11.25</c:v>
                </c:pt>
                <c:pt idx="83">
                  <c:v>11.375</c:v>
                </c:pt>
                <c:pt idx="84">
                  <c:v>11.5</c:v>
                </c:pt>
                <c:pt idx="85">
                  <c:v>11.625</c:v>
                </c:pt>
                <c:pt idx="86">
                  <c:v>11.75</c:v>
                </c:pt>
                <c:pt idx="87">
                  <c:v>11.875</c:v>
                </c:pt>
                <c:pt idx="88">
                  <c:v>12</c:v>
                </c:pt>
                <c:pt idx="89">
                  <c:v>12.125</c:v>
                </c:pt>
                <c:pt idx="90">
                  <c:v>12.25</c:v>
                </c:pt>
                <c:pt idx="91">
                  <c:v>12.375</c:v>
                </c:pt>
                <c:pt idx="92">
                  <c:v>12.5</c:v>
                </c:pt>
                <c:pt idx="93">
                  <c:v>12.625</c:v>
                </c:pt>
                <c:pt idx="94">
                  <c:v>12.75</c:v>
                </c:pt>
                <c:pt idx="95">
                  <c:v>12.875</c:v>
                </c:pt>
                <c:pt idx="96">
                  <c:v>13</c:v>
                </c:pt>
                <c:pt idx="97">
                  <c:v>13.125</c:v>
                </c:pt>
                <c:pt idx="98">
                  <c:v>13.25</c:v>
                </c:pt>
                <c:pt idx="99">
                  <c:v>13.375</c:v>
                </c:pt>
                <c:pt idx="100">
                  <c:v>13.5</c:v>
                </c:pt>
                <c:pt idx="101">
                  <c:v>13.625</c:v>
                </c:pt>
                <c:pt idx="102">
                  <c:v>13.75</c:v>
                </c:pt>
                <c:pt idx="103">
                  <c:v>13.875</c:v>
                </c:pt>
                <c:pt idx="104">
                  <c:v>14</c:v>
                </c:pt>
                <c:pt idx="105">
                  <c:v>14.125</c:v>
                </c:pt>
                <c:pt idx="106">
                  <c:v>14.25</c:v>
                </c:pt>
                <c:pt idx="107">
                  <c:v>14.375</c:v>
                </c:pt>
                <c:pt idx="108">
                  <c:v>14.5</c:v>
                </c:pt>
                <c:pt idx="109">
                  <c:v>14.625</c:v>
                </c:pt>
                <c:pt idx="110">
                  <c:v>14.75</c:v>
                </c:pt>
                <c:pt idx="111">
                  <c:v>14.875</c:v>
                </c:pt>
                <c:pt idx="112">
                  <c:v>15</c:v>
                </c:pt>
                <c:pt idx="113">
                  <c:v>15.125</c:v>
                </c:pt>
                <c:pt idx="114">
                  <c:v>15.25</c:v>
                </c:pt>
                <c:pt idx="115">
                  <c:v>15.375</c:v>
                </c:pt>
                <c:pt idx="116">
                  <c:v>15.5</c:v>
                </c:pt>
                <c:pt idx="117">
                  <c:v>15.625</c:v>
                </c:pt>
                <c:pt idx="118">
                  <c:v>15.75</c:v>
                </c:pt>
                <c:pt idx="119">
                  <c:v>15.875</c:v>
                </c:pt>
                <c:pt idx="120">
                  <c:v>16</c:v>
                </c:pt>
                <c:pt idx="121">
                  <c:v>16.125</c:v>
                </c:pt>
                <c:pt idx="122">
                  <c:v>16.25</c:v>
                </c:pt>
                <c:pt idx="123">
                  <c:v>16.375</c:v>
                </c:pt>
                <c:pt idx="124">
                  <c:v>16.5</c:v>
                </c:pt>
                <c:pt idx="125">
                  <c:v>16.625</c:v>
                </c:pt>
                <c:pt idx="126">
                  <c:v>16.75</c:v>
                </c:pt>
                <c:pt idx="127">
                  <c:v>16.875</c:v>
                </c:pt>
                <c:pt idx="128">
                  <c:v>17</c:v>
                </c:pt>
                <c:pt idx="129">
                  <c:v>17.125</c:v>
                </c:pt>
                <c:pt idx="130">
                  <c:v>17.25</c:v>
                </c:pt>
                <c:pt idx="131">
                  <c:v>17.375</c:v>
                </c:pt>
                <c:pt idx="132">
                  <c:v>17.5</c:v>
                </c:pt>
                <c:pt idx="133">
                  <c:v>17.625</c:v>
                </c:pt>
                <c:pt idx="134">
                  <c:v>17.75</c:v>
                </c:pt>
                <c:pt idx="135">
                  <c:v>17.875</c:v>
                </c:pt>
                <c:pt idx="136">
                  <c:v>18</c:v>
                </c:pt>
                <c:pt idx="137">
                  <c:v>18.125</c:v>
                </c:pt>
                <c:pt idx="138">
                  <c:v>18.25</c:v>
                </c:pt>
                <c:pt idx="139">
                  <c:v>18.375</c:v>
                </c:pt>
                <c:pt idx="140">
                  <c:v>18.5</c:v>
                </c:pt>
                <c:pt idx="141">
                  <c:v>18.625</c:v>
                </c:pt>
                <c:pt idx="142">
                  <c:v>18.75</c:v>
                </c:pt>
                <c:pt idx="143">
                  <c:v>18.875</c:v>
                </c:pt>
                <c:pt idx="144">
                  <c:v>19</c:v>
                </c:pt>
                <c:pt idx="145">
                  <c:v>19.125</c:v>
                </c:pt>
                <c:pt idx="146">
                  <c:v>19.25</c:v>
                </c:pt>
                <c:pt idx="147">
                  <c:v>19.375</c:v>
                </c:pt>
                <c:pt idx="148">
                  <c:v>19.5</c:v>
                </c:pt>
                <c:pt idx="149">
                  <c:v>19.625</c:v>
                </c:pt>
                <c:pt idx="150">
                  <c:v>19.75</c:v>
                </c:pt>
                <c:pt idx="151">
                  <c:v>19.875</c:v>
                </c:pt>
                <c:pt idx="152">
                  <c:v>20</c:v>
                </c:pt>
                <c:pt idx="153">
                  <c:v>20.125</c:v>
                </c:pt>
                <c:pt idx="154">
                  <c:v>20.25</c:v>
                </c:pt>
                <c:pt idx="155">
                  <c:v>20.375</c:v>
                </c:pt>
                <c:pt idx="156">
                  <c:v>20.5</c:v>
                </c:pt>
                <c:pt idx="157">
                  <c:v>20.625</c:v>
                </c:pt>
                <c:pt idx="158">
                  <c:v>20.75</c:v>
                </c:pt>
                <c:pt idx="159">
                  <c:v>20.875</c:v>
                </c:pt>
                <c:pt idx="160">
                  <c:v>21</c:v>
                </c:pt>
                <c:pt idx="161">
                  <c:v>21.125</c:v>
                </c:pt>
                <c:pt idx="162">
                  <c:v>21.25</c:v>
                </c:pt>
                <c:pt idx="163">
                  <c:v>21.375</c:v>
                </c:pt>
                <c:pt idx="164">
                  <c:v>21.5</c:v>
                </c:pt>
                <c:pt idx="165">
                  <c:v>21.625</c:v>
                </c:pt>
                <c:pt idx="166">
                  <c:v>21.75</c:v>
                </c:pt>
                <c:pt idx="167">
                  <c:v>21.875</c:v>
                </c:pt>
                <c:pt idx="168">
                  <c:v>22</c:v>
                </c:pt>
                <c:pt idx="169">
                  <c:v>22.125</c:v>
                </c:pt>
                <c:pt idx="170">
                  <c:v>22.25</c:v>
                </c:pt>
                <c:pt idx="171">
                  <c:v>22.375</c:v>
                </c:pt>
                <c:pt idx="172">
                  <c:v>22.5</c:v>
                </c:pt>
                <c:pt idx="173">
                  <c:v>22.625</c:v>
                </c:pt>
                <c:pt idx="174">
                  <c:v>22.75</c:v>
                </c:pt>
                <c:pt idx="175">
                  <c:v>22.875</c:v>
                </c:pt>
                <c:pt idx="176">
                  <c:v>23</c:v>
                </c:pt>
                <c:pt idx="177">
                  <c:v>23.125</c:v>
                </c:pt>
                <c:pt idx="178">
                  <c:v>23.25</c:v>
                </c:pt>
                <c:pt idx="179">
                  <c:v>23.375</c:v>
                </c:pt>
                <c:pt idx="180">
                  <c:v>23.5</c:v>
                </c:pt>
                <c:pt idx="181">
                  <c:v>23.625</c:v>
                </c:pt>
                <c:pt idx="182">
                  <c:v>23.75</c:v>
                </c:pt>
                <c:pt idx="183">
                  <c:v>23.875</c:v>
                </c:pt>
                <c:pt idx="184">
                  <c:v>24</c:v>
                </c:pt>
                <c:pt idx="185">
                  <c:v>24.125</c:v>
                </c:pt>
                <c:pt idx="186">
                  <c:v>24.25</c:v>
                </c:pt>
                <c:pt idx="187">
                  <c:v>24.375</c:v>
                </c:pt>
                <c:pt idx="188">
                  <c:v>24.5</c:v>
                </c:pt>
                <c:pt idx="189">
                  <c:v>24.625</c:v>
                </c:pt>
                <c:pt idx="190">
                  <c:v>24.75</c:v>
                </c:pt>
                <c:pt idx="191">
                  <c:v>24.875</c:v>
                </c:pt>
                <c:pt idx="192">
                  <c:v>25</c:v>
                </c:pt>
                <c:pt idx="193">
                  <c:v>25.125</c:v>
                </c:pt>
                <c:pt idx="194">
                  <c:v>25.25</c:v>
                </c:pt>
                <c:pt idx="195">
                  <c:v>25.375</c:v>
                </c:pt>
                <c:pt idx="196">
                  <c:v>25.5</c:v>
                </c:pt>
                <c:pt idx="197">
                  <c:v>25.625</c:v>
                </c:pt>
                <c:pt idx="198">
                  <c:v>25.75</c:v>
                </c:pt>
                <c:pt idx="199">
                  <c:v>25.875</c:v>
                </c:pt>
                <c:pt idx="200">
                  <c:v>26</c:v>
                </c:pt>
                <c:pt idx="201">
                  <c:v>26.125</c:v>
                </c:pt>
                <c:pt idx="202">
                  <c:v>26.25</c:v>
                </c:pt>
                <c:pt idx="203">
                  <c:v>26.375</c:v>
                </c:pt>
                <c:pt idx="204">
                  <c:v>26.5</c:v>
                </c:pt>
                <c:pt idx="205">
                  <c:v>26.625</c:v>
                </c:pt>
                <c:pt idx="206">
                  <c:v>26.75</c:v>
                </c:pt>
                <c:pt idx="207">
                  <c:v>26.875</c:v>
                </c:pt>
                <c:pt idx="208">
                  <c:v>27</c:v>
                </c:pt>
                <c:pt idx="209">
                  <c:v>27.125</c:v>
                </c:pt>
                <c:pt idx="210">
                  <c:v>27.25</c:v>
                </c:pt>
                <c:pt idx="211">
                  <c:v>27.375</c:v>
                </c:pt>
                <c:pt idx="212">
                  <c:v>27.5</c:v>
                </c:pt>
                <c:pt idx="213">
                  <c:v>27.625</c:v>
                </c:pt>
                <c:pt idx="214">
                  <c:v>27.75</c:v>
                </c:pt>
                <c:pt idx="215">
                  <c:v>27.875</c:v>
                </c:pt>
                <c:pt idx="216">
                  <c:v>28</c:v>
                </c:pt>
                <c:pt idx="217">
                  <c:v>28.125</c:v>
                </c:pt>
                <c:pt idx="218">
                  <c:v>28.25</c:v>
                </c:pt>
                <c:pt idx="219">
                  <c:v>28.375</c:v>
                </c:pt>
                <c:pt idx="220">
                  <c:v>28.5</c:v>
                </c:pt>
                <c:pt idx="221">
                  <c:v>28.625</c:v>
                </c:pt>
                <c:pt idx="222">
                  <c:v>28.75</c:v>
                </c:pt>
                <c:pt idx="223">
                  <c:v>28.875</c:v>
                </c:pt>
                <c:pt idx="224">
                  <c:v>29</c:v>
                </c:pt>
                <c:pt idx="225">
                  <c:v>29.125</c:v>
                </c:pt>
                <c:pt idx="226">
                  <c:v>29.25</c:v>
                </c:pt>
                <c:pt idx="227">
                  <c:v>29.375</c:v>
                </c:pt>
                <c:pt idx="228">
                  <c:v>29.5</c:v>
                </c:pt>
                <c:pt idx="229">
                  <c:v>29.625</c:v>
                </c:pt>
                <c:pt idx="230">
                  <c:v>29.75</c:v>
                </c:pt>
                <c:pt idx="231">
                  <c:v>29.875</c:v>
                </c:pt>
                <c:pt idx="232">
                  <c:v>30</c:v>
                </c:pt>
                <c:pt idx="233">
                  <c:v>30.125</c:v>
                </c:pt>
                <c:pt idx="234">
                  <c:v>30.25</c:v>
                </c:pt>
                <c:pt idx="235">
                  <c:v>30.375</c:v>
                </c:pt>
                <c:pt idx="236">
                  <c:v>30.5</c:v>
                </c:pt>
                <c:pt idx="237">
                  <c:v>30.625</c:v>
                </c:pt>
                <c:pt idx="238">
                  <c:v>30.75</c:v>
                </c:pt>
                <c:pt idx="239">
                  <c:v>30.875</c:v>
                </c:pt>
                <c:pt idx="240">
                  <c:v>31</c:v>
                </c:pt>
                <c:pt idx="241">
                  <c:v>31.125</c:v>
                </c:pt>
                <c:pt idx="242">
                  <c:v>31.25</c:v>
                </c:pt>
                <c:pt idx="243">
                  <c:v>31.375</c:v>
                </c:pt>
                <c:pt idx="244">
                  <c:v>31.5</c:v>
                </c:pt>
                <c:pt idx="245">
                  <c:v>31.625</c:v>
                </c:pt>
                <c:pt idx="246">
                  <c:v>31.75</c:v>
                </c:pt>
                <c:pt idx="247">
                  <c:v>31.875</c:v>
                </c:pt>
                <c:pt idx="248">
                  <c:v>32</c:v>
                </c:pt>
              </c:numCache>
            </c:numRef>
          </c:xVal>
          <c:yVal>
            <c:numRef>
              <c:f>topo!$AX$2:$AX$250</c:f>
              <c:numCache>
                <c:formatCode>General</c:formatCode>
                <c:ptCount val="249"/>
                <c:pt idx="0">
                  <c:v>372864.071469498</c:v>
                </c:pt>
                <c:pt idx="1">
                  <c:v>372642.432188279</c:v>
                </c:pt>
                <c:pt idx="2">
                  <c:v>372427.557886266</c:v>
                </c:pt>
                <c:pt idx="3">
                  <c:v>372219.436425417</c:v>
                </c:pt>
                <c:pt idx="4">
                  <c:v>372018.061549294</c:v>
                </c:pt>
                <c:pt idx="5">
                  <c:v>371823.433514255</c:v>
                </c:pt>
                <c:pt idx="6">
                  <c:v>371635.559675497</c:v>
                </c:pt>
                <c:pt idx="7">
                  <c:v>371454.455025499</c:v>
                </c:pt>
                <c:pt idx="8">
                  <c:v>371280.142682478</c:v>
                </c:pt>
                <c:pt idx="9">
                  <c:v>371112.654326797</c:v>
                </c:pt>
                <c:pt idx="10">
                  <c:v>370952.03058333</c:v>
                </c:pt>
                <c:pt idx="11">
                  <c:v>370798.32134811</c:v>
                </c:pt>
                <c:pt idx="12">
                  <c:v>370651.586057723</c:v>
                </c:pt>
                <c:pt idx="13">
                  <c:v>370511.893900111</c:v>
                </c:pt>
                <c:pt idx="14">
                  <c:v>370379.323965625</c:v>
                </c:pt>
                <c:pt idx="15">
                  <c:v>370253.965337428</c:v>
                </c:pt>
                <c:pt idx="16">
                  <c:v>370135.917120449</c:v>
                </c:pt>
                <c:pt idx="17">
                  <c:v>370025.288408355</c:v>
                </c:pt>
                <c:pt idx="18">
                  <c:v>369922.198188168</c:v>
                </c:pt>
                <c:pt idx="19">
                  <c:v>369826.775182335</c:v>
                </c:pt>
                <c:pt idx="20">
                  <c:v>369739.157628291</c:v>
                </c:pt>
                <c:pt idx="21">
                  <c:v>369659.492995723</c:v>
                </c:pt>
                <c:pt idx="22">
                  <c:v>369587.937641946</c:v>
                </c:pt>
                <c:pt idx="23">
                  <c:v>369524.656406031</c:v>
                </c:pt>
                <c:pt idx="24">
                  <c:v>369469.822142505</c:v>
                </c:pt>
                <c:pt idx="25">
                  <c:v>369423.615195669</c:v>
                </c:pt>
                <c:pt idx="26">
                  <c:v>369386.222815821</c:v>
                </c:pt>
                <c:pt idx="27">
                  <c:v>369357.838518881</c:v>
                </c:pt>
                <c:pt idx="28">
                  <c:v>369338.661391087</c:v>
                </c:pt>
                <c:pt idx="29">
                  <c:v>369328.895340849</c:v>
                </c:pt>
                <c:pt idx="30">
                  <c:v>369328.74829984</c:v>
                </c:pt>
                <c:pt idx="31">
                  <c:v>369338.431375864</c:v>
                </c:pt>
                <c:pt idx="32">
                  <c:v>369358.157960181</c:v>
                </c:pt>
                <c:pt idx="33">
                  <c:v>369388.142792236</c:v>
                </c:pt>
                <c:pt idx="34">
                  <c:v>369428.600985032</c:v>
                </c:pt>
                <c:pt idx="35">
                  <c:v>369479.747014549</c:v>
                </c:pt>
                <c:pt idx="36">
                  <c:v>369541.793676974</c:v>
                </c:pt>
                <c:pt idx="37">
                  <c:v>369614.951017668</c:v>
                </c:pt>
                <c:pt idx="38">
                  <c:v>369699.425235987</c:v>
                </c:pt>
                <c:pt idx="39">
                  <c:v>369795.417570454</c:v>
                </c:pt>
                <c:pt idx="40">
                  <c:v>369903.123168786</c:v>
                </c:pt>
                <c:pt idx="41">
                  <c:v>370022.729947613</c:v>
                </c:pt>
                <c:pt idx="42">
                  <c:v>370154.417446865</c:v>
                </c:pt>
                <c:pt idx="43">
                  <c:v>370298.355683846</c:v>
                </c:pt>
                <c:pt idx="44">
                  <c:v>370454.704012354</c:v>
                </c:pt>
                <c:pt idx="45">
                  <c:v>370623.609992015</c:v>
                </c:pt>
                <c:pt idx="46">
                  <c:v>370805.208273369</c:v>
                </c:pt>
                <c:pt idx="47">
                  <c:v>370999.619504016</c:v>
                </c:pt>
                <c:pt idx="48">
                  <c:v>371206.949261284</c:v>
                </c:pt>
                <c:pt idx="49">
                  <c:v>371427.287016791</c:v>
                </c:pt>
                <c:pt idx="50">
                  <c:v>371660.70513825</c:v>
                </c:pt>
                <c:pt idx="51">
                  <c:v>371907.25793361</c:v>
                </c:pt>
                <c:pt idx="52">
                  <c:v>372166.980742702</c:v>
                </c:pt>
                <c:pt idx="53">
                  <c:v>372439.889081157</c:v>
                </c:pt>
                <c:pt idx="54">
                  <c:v>372725.977841269</c:v>
                </c:pt>
                <c:pt idx="55">
                  <c:v>373025.220554211</c:v>
                </c:pt>
                <c:pt idx="56">
                  <c:v>373337.568717547</c:v>
                </c:pt>
                <c:pt idx="57">
                  <c:v>373662.951191992</c:v>
                </c:pt>
                <c:pt idx="58">
                  <c:v>374001.273670566</c:v>
                </c:pt>
                <c:pt idx="59">
                  <c:v>374352.418223352</c:v>
                </c:pt>
                <c:pt idx="60">
                  <c:v>374716.242920272</c:v>
                </c:pt>
                <c:pt idx="61">
                  <c:v>375092.581534107</c:v>
                </c:pt>
                <c:pt idx="62">
                  <c:v>375481.243325391</c:v>
                </c:pt>
                <c:pt idx="63">
                  <c:v>375882.012910471</c:v>
                </c:pt>
                <c:pt idx="64">
                  <c:v>376294.650213313</c:v>
                </c:pt>
                <c:pt idx="65">
                  <c:v>376718.890501501</c:v>
                </c:pt>
                <c:pt idx="66">
                  <c:v>377154.444505998</c:v>
                </c:pt>
                <c:pt idx="67">
                  <c:v>377600.998624049</c:v>
                </c:pt>
                <c:pt idx="68">
                  <c:v>378058.215204017</c:v>
                </c:pt>
                <c:pt idx="69">
                  <c:v>378525.7329105</c:v>
                </c:pt>
                <c:pt idx="70">
                  <c:v>379003.167167558</c:v>
                </c:pt>
                <c:pt idx="71">
                  <c:v>379490.110677586</c:v>
                </c:pt>
                <c:pt idx="72">
                  <c:v>379986.134012924</c:v>
                </c:pt>
                <c:pt idx="73">
                  <c:v>380490.786276905</c:v>
                </c:pt>
                <c:pt idx="74">
                  <c:v>381003.595830647</c:v>
                </c:pt>
                <c:pt idx="75">
                  <c:v>381524.071081764</c:v>
                </c:pt>
                <c:pt idx="76">
                  <c:v>382051.701330775</c:v>
                </c:pt>
                <c:pt idx="77">
                  <c:v>382585.957670838</c:v>
                </c:pt>
                <c:pt idx="78">
                  <c:v>383126.293936152</c:v>
                </c:pt>
                <c:pt idx="79">
                  <c:v>383672.147694395</c:v>
                </c:pt>
                <c:pt idx="80">
                  <c:v>384222.941278339</c:v>
                </c:pt>
                <c:pt idx="81">
                  <c:v>384778.082851821</c:v>
                </c:pt>
                <c:pt idx="82">
                  <c:v>385336.96750519</c:v>
                </c:pt>
                <c:pt idx="83">
                  <c:v>385898.978375359</c:v>
                </c:pt>
                <c:pt idx="84">
                  <c:v>386463.487785728</c:v>
                </c:pt>
                <c:pt idx="85">
                  <c:v>387029.858401368</c:v>
                </c:pt>
                <c:pt idx="86">
                  <c:v>387597.444394932</c:v>
                </c:pt>
                <c:pt idx="87">
                  <c:v>388165.592618915</c:v>
                </c:pt>
                <c:pt idx="88">
                  <c:v>388733.643780211</c:v>
                </c:pt>
                <c:pt idx="89">
                  <c:v>389300.933613074</c:v>
                </c:pt>
                <c:pt idx="90">
                  <c:v>389866.79404684</c:v>
                </c:pt>
                <c:pt idx="91">
                  <c:v>390430.554364995</c:v>
                </c:pt>
                <c:pt idx="92">
                  <c:v>390991.542352595</c:v>
                </c:pt>
                <c:pt idx="93">
                  <c:v>391549.085429172</c:v>
                </c:pt>
                <c:pt idx="94">
                  <c:v>392102.511764699</c:v>
                </c:pt>
                <c:pt idx="95">
                  <c:v>392651.151376423</c:v>
                </c:pt>
                <c:pt idx="96">
                  <c:v>393194.337204595</c:v>
                </c:pt>
                <c:pt idx="97">
                  <c:v>393731.406165575</c:v>
                </c:pt>
                <c:pt idx="98">
                  <c:v>394261.700180984</c:v>
                </c:pt>
                <c:pt idx="99">
                  <c:v>394784.567181828</c:v>
                </c:pt>
                <c:pt idx="100">
                  <c:v>395299.362086775</c:v>
                </c:pt>
                <c:pt idx="101">
                  <c:v>395805.447754022</c:v>
                </c:pt>
                <c:pt idx="102">
                  <c:v>396302.19590643</c:v>
                </c:pt>
                <c:pt idx="103">
                  <c:v>396788.988029718</c:v>
                </c:pt>
                <c:pt idx="104">
                  <c:v>397265.216243692</c:v>
                </c:pt>
                <c:pt idx="105">
                  <c:v>397730.284146653</c:v>
                </c:pt>
                <c:pt idx="106">
                  <c:v>398183.607633295</c:v>
                </c:pt>
                <c:pt idx="107">
                  <c:v>398624.615686289</c:v>
                </c:pt>
                <c:pt idx="108">
                  <c:v>399052.751142123</c:v>
                </c:pt>
                <c:pt idx="109">
                  <c:v>399467.47143149</c:v>
                </c:pt>
                <c:pt idx="110">
                  <c:v>399868.249294761</c:v>
                </c:pt>
                <c:pt idx="111">
                  <c:v>400254.573473016</c:v>
                </c:pt>
                <c:pt idx="112">
                  <c:v>400625.949375023</c:v>
                </c:pt>
                <c:pt idx="113">
                  <c:v>400981.899720575</c:v>
                </c:pt>
                <c:pt idx="114">
                  <c:v>401321.965160531</c:v>
                </c:pt>
                <c:pt idx="115">
                  <c:v>401645.704873858</c:v>
                </c:pt>
                <c:pt idx="116">
                  <c:v>401952.697141852</c:v>
                </c:pt>
                <c:pt idx="117">
                  <c:v>402242.539899646</c:v>
                </c:pt>
                <c:pt idx="118">
                  <c:v>402514.851265045</c:v>
                </c:pt>
                <c:pt idx="119">
                  <c:v>402769.270044658</c:v>
                </c:pt>
                <c:pt idx="120">
                  <c:v>403005.4562171</c:v>
                </c:pt>
                <c:pt idx="121">
                  <c:v>403223.091393111</c:v>
                </c:pt>
                <c:pt idx="122">
                  <c:v>403421.879252185</c:v>
                </c:pt>
                <c:pt idx="123">
                  <c:v>403601.545955396</c:v>
                </c:pt>
                <c:pt idx="124">
                  <c:v>403761.840533873</c:v>
                </c:pt>
                <c:pt idx="125">
                  <c:v>403902.535252471</c:v>
                </c:pt>
                <c:pt idx="126">
                  <c:v>404023.425948006</c:v>
                </c:pt>
                <c:pt idx="127">
                  <c:v>404124.332341513</c:v>
                </c:pt>
                <c:pt idx="128">
                  <c:v>404205.098323829</c:v>
                </c:pt>
                <c:pt idx="129">
                  <c:v>404265.592213922</c:v>
                </c:pt>
                <c:pt idx="130">
                  <c:v>404305.70698929</c:v>
                </c:pt>
                <c:pt idx="131">
                  <c:v>404325.360487825</c:v>
                </c:pt>
                <c:pt idx="132">
                  <c:v>404324.495580523</c:v>
                </c:pt>
                <c:pt idx="133">
                  <c:v>404303.080314497</c:v>
                </c:pt>
                <c:pt idx="134">
                  <c:v>404261.10802575</c:v>
                </c:pt>
                <c:pt idx="135">
                  <c:v>404198.597421231</c:v>
                </c:pt>
                <c:pt idx="136">
                  <c:v>404115.59262978</c:v>
                </c:pt>
                <c:pt idx="137">
                  <c:v>404012.163221575</c:v>
                </c:pt>
                <c:pt idx="138">
                  <c:v>403888.404195793</c:v>
                </c:pt>
                <c:pt idx="139">
                  <c:v>403744.435936271</c:v>
                </c:pt>
                <c:pt idx="140">
                  <c:v>403580.404134951</c:v>
                </c:pt>
                <c:pt idx="141">
                  <c:v>403396.479683046</c:v>
                </c:pt>
                <c:pt idx="142">
                  <c:v>403192.85852982</c:v>
                </c:pt>
                <c:pt idx="143">
                  <c:v>402969.761509006</c:v>
                </c:pt>
                <c:pt idx="144">
                  <c:v>402727.434132863</c:v>
                </c:pt>
                <c:pt idx="145">
                  <c:v>402466.146353953</c:v>
                </c:pt>
                <c:pt idx="146">
                  <c:v>402186.19229472</c:v>
                </c:pt>
                <c:pt idx="147">
                  <c:v>401887.889944962</c:v>
                </c:pt>
                <c:pt idx="148">
                  <c:v>401571.580827297</c:v>
                </c:pt>
                <c:pt idx="149">
                  <c:v>401237.629630745</c:v>
                </c:pt>
                <c:pt idx="150">
                  <c:v>400886.423812514</c:v>
                </c:pt>
                <c:pt idx="151">
                  <c:v>400518.373168007</c:v>
                </c:pt>
                <c:pt idx="152">
                  <c:v>400133.909369137</c:v>
                </c:pt>
                <c:pt idx="153">
                  <c:v>399733.485470927</c:v>
                </c:pt>
                <c:pt idx="154">
                  <c:v>399317.575386374</c:v>
                </c:pt>
                <c:pt idx="155">
                  <c:v>398886.673329458</c:v>
                </c:pt>
                <c:pt idx="156">
                  <c:v>398441.293226174</c:v>
                </c:pt>
                <c:pt idx="157">
                  <c:v>397981.968093477</c:v>
                </c:pt>
                <c:pt idx="158">
                  <c:v>397509.249385844</c:v>
                </c:pt>
                <c:pt idx="159">
                  <c:v>397023.706309296</c:v>
                </c:pt>
                <c:pt idx="160">
                  <c:v>396525.925102546</c:v>
                </c:pt>
                <c:pt idx="161">
                  <c:v>396016.508285033</c:v>
                </c:pt>
                <c:pt idx="162">
                  <c:v>395496.073871579</c:v>
                </c:pt>
                <c:pt idx="163">
                  <c:v>394965.254553405</c:v>
                </c:pt>
                <c:pt idx="164">
                  <c:v>394424.696845244</c:v>
                </c:pt>
                <c:pt idx="165">
                  <c:v>393875.060198398</c:v>
                </c:pt>
                <c:pt idx="166">
                  <c:v>393317.016079683</c:v>
                </c:pt>
                <c:pt idx="167">
                  <c:v>392751.247016213</c:v>
                </c:pt>
                <c:pt idx="168">
                  <c:v>392178.445606138</c:v>
                </c:pt>
                <c:pt idx="169">
                  <c:v>391599.313495585</c:v>
                </c:pt>
                <c:pt idx="170">
                  <c:v>391014.560322298</c:v>
                </c:pt>
                <c:pt idx="171">
                  <c:v>390424.902626486</c:v>
                </c:pt>
                <c:pt idx="172">
                  <c:v>389831.062729799</c:v>
                </c:pt>
                <c:pt idx="173">
                  <c:v>389233.7675834</c:v>
                </c:pt>
                <c:pt idx="174">
                  <c:v>388633.74758648</c:v>
                </c:pt>
                <c:pt idx="175">
                  <c:v>388031.73537683</c:v>
                </c:pt>
                <c:pt idx="176">
                  <c:v>387428.464595296</c:v>
                </c:pt>
                <c:pt idx="177">
                  <c:v>386824.668626249</c:v>
                </c:pt>
                <c:pt idx="178">
                  <c:v>386221.079316566</c:v>
                </c:pt>
                <c:pt idx="179">
                  <c:v>385618.425675932</c:v>
                </c:pt>
                <c:pt idx="180">
                  <c:v>385017.432561522</c:v>
                </c:pt>
                <c:pt idx="181">
                  <c:v>384418.819350431</c:v>
                </c:pt>
                <c:pt idx="182">
                  <c:v>383823.298603614</c:v>
                </c:pt>
                <c:pt idx="183">
                  <c:v>383231.574725324</c:v>
                </c:pt>
                <c:pt idx="184">
                  <c:v>382644.342622367</c:v>
                </c:pt>
                <c:pt idx="185">
                  <c:v>382062.286367583</c:v>
                </c:pt>
                <c:pt idx="186">
                  <c:v>381486.07787256</c:v>
                </c:pt>
                <c:pt idx="187">
                  <c:v>380916.375574323</c:v>
                </c:pt>
                <c:pt idx="188">
                  <c:v>380353.823141406</c:v>
                </c:pt>
                <c:pt idx="189">
                  <c:v>379799.048204416</c:v>
                </c:pt>
                <c:pt idx="190">
                  <c:v>379252.661116713</c:v>
                </c:pt>
                <c:pt idx="191">
                  <c:v>378715.253750488</c:v>
                </c:pt>
                <c:pt idx="192">
                  <c:v>378187.398333996</c:v>
                </c:pt>
                <c:pt idx="193">
                  <c:v>377669.646335178</c:v>
                </c:pt>
                <c:pt idx="194">
                  <c:v>377162.527397381</c:v>
                </c:pt>
                <c:pt idx="195">
                  <c:v>376666.548332226</c:v>
                </c:pt>
                <c:pt idx="196">
                  <c:v>376182.192175014</c:v>
                </c:pt>
                <c:pt idx="197">
                  <c:v>375709.917307457</c:v>
                </c:pt>
                <c:pt idx="198">
                  <c:v>375250.156652518</c:v>
                </c:pt>
                <c:pt idx="199">
                  <c:v>374803.316945788</c:v>
                </c:pt>
                <c:pt idx="200">
                  <c:v>374369.778087335</c:v>
                </c:pt>
                <c:pt idx="201">
                  <c:v>373949.89257788</c:v>
                </c:pt>
                <c:pt idx="202">
                  <c:v>373543.985042435</c:v>
                </c:pt>
                <c:pt idx="203">
                  <c:v>373152.351844319</c:v>
                </c:pt>
                <c:pt idx="204">
                  <c:v>372775.260791785</c:v>
                </c:pt>
                <c:pt idx="205">
                  <c:v>372412.950939254</c:v>
                </c:pt>
                <c:pt idx="206">
                  <c:v>372065.632484266</c:v>
                </c:pt>
                <c:pt idx="207">
                  <c:v>371733.486761145</c:v>
                </c:pt>
                <c:pt idx="208">
                  <c:v>371416.666331384</c:v>
                </c:pt>
                <c:pt idx="209">
                  <c:v>371115.295170574</c:v>
                </c:pt>
                <c:pt idx="210">
                  <c:v>370829.468950921</c:v>
                </c:pt>
                <c:pt idx="211">
                  <c:v>370559.255417871</c:v>
                </c:pt>
                <c:pt idx="212">
                  <c:v>370304.694858967</c:v>
                </c:pt>
                <c:pt idx="213">
                  <c:v>370065.800662291</c:v>
                </c:pt>
                <c:pt idx="214">
                  <c:v>369842.55996153</c:v>
                </c:pt>
                <c:pt idx="215">
                  <c:v>369634.934364217</c:v>
                </c:pt>
                <c:pt idx="216">
                  <c:v>369442.860759073</c:v>
                </c:pt>
                <c:pt idx="217">
                  <c:v>369266.25219814</c:v>
                </c:pt>
                <c:pt idx="218">
                  <c:v>369104.99884889</c:v>
                </c:pt>
                <c:pt idx="219">
                  <c:v>368958.969011235</c:v>
                </c:pt>
                <c:pt idx="220">
                  <c:v>368828.01019397</c:v>
                </c:pt>
                <c:pt idx="221">
                  <c:v>368711.950244944</c:v>
                </c:pt>
                <c:pt idx="222">
                  <c:v>368610.598529032</c:v>
                </c:pt>
                <c:pt idx="223">
                  <c:v>368523.747147886</c:v>
                </c:pt>
                <c:pt idx="224">
                  <c:v>368451.172195108</c:v>
                </c:pt>
                <c:pt idx="225">
                  <c:v>368392.635040652</c:v>
                </c:pt>
                <c:pt idx="226">
                  <c:v>368347.883638004</c:v>
                </c:pt>
                <c:pt idx="227">
                  <c:v>368316.653847814</c:v>
                </c:pt>
                <c:pt idx="228">
                  <c:v>368298.670771709</c:v>
                </c:pt>
                <c:pt idx="229">
                  <c:v>368293.650089974</c:v>
                </c:pt>
                <c:pt idx="230">
                  <c:v>368301.299397058</c:v>
                </c:pt>
                <c:pt idx="231">
                  <c:v>368321.319528906</c:v>
                </c:pt>
                <c:pt idx="232">
                  <c:v>368353.405876389</c:v>
                </c:pt>
                <c:pt idx="233">
                  <c:v>368397.249679284</c:v>
                </c:pt>
                <c:pt idx="234">
                  <c:v>368452.539295416</c:v>
                </c:pt>
                <c:pt idx="235">
                  <c:v>368518.961440057</c:v>
                </c:pt>
                <c:pt idx="236">
                  <c:v>368596.202390732</c:v>
                </c:pt>
                <c:pt idx="237">
                  <c:v>368683.949152972</c:v>
                </c:pt>
                <c:pt idx="238">
                  <c:v>368781.890582946</c:v>
                </c:pt>
                <c:pt idx="239">
                  <c:v>368889.718463069</c:v>
                </c:pt>
                <c:pt idx="240">
                  <c:v>369007.128527123</c:v>
                </c:pt>
                <c:pt idx="241">
                  <c:v>369133.821431748</c:v>
                </c:pt>
                <c:pt idx="242">
                  <c:v>369269.503671395</c:v>
                </c:pt>
                <c:pt idx="243">
                  <c:v>369413.888434323</c:v>
                </c:pt>
                <c:pt idx="244">
                  <c:v>369566.696397361</c:v>
                </c:pt>
                <c:pt idx="245">
                  <c:v>369727.656457618</c:v>
                </c:pt>
                <c:pt idx="246">
                  <c:v>369896.506399562</c:v>
                </c:pt>
                <c:pt idx="247">
                  <c:v>370072.993496181</c:v>
                </c:pt>
                <c:pt idx="248">
                  <c:v>370256.875043271</c:v>
                </c:pt>
              </c:numCache>
            </c:numRef>
          </c:yVal>
          <c:smooth val="0"/>
        </c:ser>
        <c:axId val="2365260"/>
        <c:axId val="77611671"/>
      </c:scatterChart>
      <c:valAx>
        <c:axId val="2365260"/>
        <c:scaling>
          <c:orientation val="minMax"/>
          <c:max val="32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7611671"/>
        <c:crosses val="autoZero"/>
        <c:crossBetween val="between"/>
        <c:majorUnit val="1"/>
      </c:valAx>
      <c:valAx>
        <c:axId val="77611671"/>
        <c:scaling>
          <c:orientation val="minMax"/>
          <c:min val="3500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365260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trlProps/ctrlProps10.xml><?xml version="1.0" encoding="utf-8"?>
<formControlPr xmlns="http://schemas.microsoft.com/office/spreadsheetml/2009/9/main" objectType="Button" lockText="1"/>
</file>

<file path=xl/ctrlProps/ctrlProps11.xml><?xml version="1.0" encoding="utf-8"?>
<formControlPr xmlns="http://schemas.microsoft.com/office/spreadsheetml/2009/9/main" objectType="Button" lockText="1"/>
</file>

<file path=xl/ctrlProps/ctrlProps13.xml><?xml version="1.0" encoding="utf-8"?>
<formControlPr xmlns="http://schemas.microsoft.com/office/spreadsheetml/2009/9/main" objectType="Button" lockText="1"/>
</file>

<file path=xl/ctrlProps/ctrlProps14.xml><?xml version="1.0" encoding="utf-8"?>
<formControlPr xmlns="http://schemas.microsoft.com/office/spreadsheetml/2009/9/main" objectType="Button" lockText="1"/>
</file>

<file path=xl/ctrlProps/ctrlProps9.xml><?xml version="1.0" encoding="utf-8"?>
<formControlPr xmlns="http://schemas.microsoft.com/office/spreadsheetml/2009/9/main" objectType="Button" lockText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Relationship Id="rId3" Type="http://schemas.openxmlformats.org/officeDocument/2006/relationships/chart" Target="../charts/chart21.xml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chart" Target="../charts/chart45.xml"/><Relationship Id="rId2" Type="http://schemas.openxmlformats.org/officeDocument/2006/relationships/chart" Target="../charts/chart46.xml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chart" Target="../charts/chart47.xml"/><Relationship Id="rId2" Type="http://schemas.openxmlformats.org/officeDocument/2006/relationships/chart" Target="../charts/chart48.xml"/><Relationship Id="rId3" Type="http://schemas.openxmlformats.org/officeDocument/2006/relationships/chart" Target="../charts/chart49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Relationship Id="rId3" Type="http://schemas.openxmlformats.org/officeDocument/2006/relationships/chart" Target="../charts/chart24.xml"/><Relationship Id="rId4" Type="http://schemas.openxmlformats.org/officeDocument/2006/relationships/chart" Target="../charts/chart25.xml"/><Relationship Id="rId5" Type="http://schemas.openxmlformats.org/officeDocument/2006/relationships/chart" Target="../charts/chart26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7.xml"/><Relationship Id="rId2" Type="http://schemas.openxmlformats.org/officeDocument/2006/relationships/chart" Target="../charts/chart28.xml"/><Relationship Id="rId3" Type="http://schemas.openxmlformats.org/officeDocument/2006/relationships/chart" Target="../charts/chart29.xml"/><Relationship Id="rId4" Type="http://schemas.openxmlformats.org/officeDocument/2006/relationships/chart" Target="../charts/chart30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Relationship Id="rId4" Type="http://schemas.openxmlformats.org/officeDocument/2006/relationships/chart" Target="../charts/chart34.xml"/><Relationship Id="rId5" Type="http://schemas.openxmlformats.org/officeDocument/2006/relationships/chart" Target="../charts/chart35.xml"/><Relationship Id="rId6" Type="http://schemas.openxmlformats.org/officeDocument/2006/relationships/chart" Target="../charts/chart36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37.xml"/><Relationship Id="rId2" Type="http://schemas.openxmlformats.org/officeDocument/2006/relationships/chart" Target="../charts/chart38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39.xml"/><Relationship Id="rId2" Type="http://schemas.openxmlformats.org/officeDocument/2006/relationships/chart" Target="../charts/chart40.xml"/><Relationship Id="rId3" Type="http://schemas.openxmlformats.org/officeDocument/2006/relationships/chart" Target="../charts/chart41.xml"/><Relationship Id="rId4" Type="http://schemas.openxmlformats.org/officeDocument/2006/relationships/chart" Target="../charts/chart42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43.xml"/><Relationship Id="rId2" Type="http://schemas.openxmlformats.org/officeDocument/2006/relationships/chart" Target="../charts/chart4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669240</xdr:colOff>
      <xdr:row>6</xdr:row>
      <xdr:rowOff>88200</xdr:rowOff>
    </xdr:from>
    <xdr:to>
      <xdr:col>8</xdr:col>
      <xdr:colOff>565920</xdr:colOff>
      <xdr:row>23</xdr:row>
      <xdr:rowOff>69120</xdr:rowOff>
    </xdr:to>
    <xdr:graphicFrame>
      <xdr:nvGraphicFramePr>
        <xdr:cNvPr id="0" name=""/>
        <xdr:cNvGraphicFramePr/>
      </xdr:nvGraphicFramePr>
      <xdr:xfrm>
        <a:off x="1708560" y="1350720"/>
        <a:ext cx="5823360" cy="3219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33120</xdr:colOff>
      <xdr:row>6</xdr:row>
      <xdr:rowOff>151920</xdr:rowOff>
    </xdr:from>
    <xdr:to>
      <xdr:col>19</xdr:col>
      <xdr:colOff>239760</xdr:colOff>
      <xdr:row>26</xdr:row>
      <xdr:rowOff>67680</xdr:rowOff>
    </xdr:to>
    <xdr:graphicFrame>
      <xdr:nvGraphicFramePr>
        <xdr:cNvPr id="1" name=""/>
        <xdr:cNvGraphicFramePr/>
      </xdr:nvGraphicFramePr>
      <xdr:xfrm>
        <a:off x="9437400" y="1414440"/>
        <a:ext cx="6708960" cy="3725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78840</xdr:colOff>
      <xdr:row>25</xdr:row>
      <xdr:rowOff>104400</xdr:rowOff>
    </xdr:from>
    <xdr:to>
      <xdr:col>8</xdr:col>
      <xdr:colOff>740160</xdr:colOff>
      <xdr:row>43</xdr:row>
      <xdr:rowOff>162720</xdr:rowOff>
    </xdr:to>
    <xdr:graphicFrame>
      <xdr:nvGraphicFramePr>
        <xdr:cNvPr id="2" name=""/>
        <xdr:cNvGraphicFramePr/>
      </xdr:nvGraphicFramePr>
      <xdr:xfrm>
        <a:off x="2023920" y="4986360"/>
        <a:ext cx="5682240" cy="3487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514440</xdr:colOff>
      <xdr:row>35</xdr:row>
      <xdr:rowOff>10800</xdr:rowOff>
    </xdr:from>
    <xdr:to>
      <xdr:col>11</xdr:col>
      <xdr:colOff>318240</xdr:colOff>
      <xdr:row>55</xdr:row>
      <xdr:rowOff>137880</xdr:rowOff>
    </xdr:to>
    <xdr:graphicFrame>
      <xdr:nvGraphicFramePr>
        <xdr:cNvPr id="27" name=""/>
        <xdr:cNvGraphicFramePr/>
      </xdr:nvGraphicFramePr>
      <xdr:xfrm>
        <a:off x="2294280" y="6678360"/>
        <a:ext cx="6017400" cy="3936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912240</xdr:colOff>
      <xdr:row>38</xdr:row>
      <xdr:rowOff>106200</xdr:rowOff>
    </xdr:from>
    <xdr:to>
      <xdr:col>18</xdr:col>
      <xdr:colOff>271440</xdr:colOff>
      <xdr:row>63</xdr:row>
      <xdr:rowOff>169560</xdr:rowOff>
    </xdr:to>
    <xdr:graphicFrame>
      <xdr:nvGraphicFramePr>
        <xdr:cNvPr id="28" name=""/>
        <xdr:cNvGraphicFramePr/>
      </xdr:nvGraphicFramePr>
      <xdr:xfrm>
        <a:off x="8905680" y="7345080"/>
        <a:ext cx="5141520" cy="4826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Schaltfläche 1" descr="total major limit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total major limits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2" name="Schaltfläche 2" descr="partial major limit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partial major limits</a:t>
              </a:r>
            </a:p>
          </xdr:txBody>
        </xdr:sp>
        <xdr:clientData/>
      </xdr:twoCellAnchor>
    </mc:Choice>
  </mc:AlternateContent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14</xdr:col>
      <xdr:colOff>81360</xdr:colOff>
      <xdr:row>4</xdr:row>
      <xdr:rowOff>179640</xdr:rowOff>
    </xdr:from>
    <xdr:to>
      <xdr:col>24</xdr:col>
      <xdr:colOff>605160</xdr:colOff>
      <xdr:row>17</xdr:row>
      <xdr:rowOff>63360</xdr:rowOff>
    </xdr:to>
    <xdr:graphicFrame>
      <xdr:nvGraphicFramePr>
        <xdr:cNvPr id="29" name=""/>
        <xdr:cNvGraphicFramePr/>
      </xdr:nvGraphicFramePr>
      <xdr:xfrm>
        <a:off x="9630360" y="941760"/>
        <a:ext cx="5757120" cy="2360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258480</xdr:colOff>
      <xdr:row>4</xdr:row>
      <xdr:rowOff>106200</xdr:rowOff>
    </xdr:from>
    <xdr:to>
      <xdr:col>14</xdr:col>
      <xdr:colOff>108360</xdr:colOff>
      <xdr:row>16</xdr:row>
      <xdr:rowOff>74520</xdr:rowOff>
    </xdr:to>
    <xdr:graphicFrame>
      <xdr:nvGraphicFramePr>
        <xdr:cNvPr id="30" name=""/>
        <xdr:cNvGraphicFramePr/>
      </xdr:nvGraphicFramePr>
      <xdr:xfrm>
        <a:off x="5452200" y="868320"/>
        <a:ext cx="4205160" cy="2254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50</xdr:col>
      <xdr:colOff>531720</xdr:colOff>
      <xdr:row>1</xdr:row>
      <xdr:rowOff>36000</xdr:rowOff>
    </xdr:from>
    <xdr:to>
      <xdr:col>60</xdr:col>
      <xdr:colOff>46800</xdr:colOff>
      <xdr:row>18</xdr:row>
      <xdr:rowOff>37080</xdr:rowOff>
    </xdr:to>
    <xdr:graphicFrame>
      <xdr:nvGraphicFramePr>
        <xdr:cNvPr id="31" name=""/>
        <xdr:cNvGraphicFramePr/>
      </xdr:nvGraphicFramePr>
      <xdr:xfrm>
        <a:off x="31530600" y="22644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382680</xdr:colOff>
      <xdr:row>74</xdr:row>
      <xdr:rowOff>180720</xdr:rowOff>
    </xdr:from>
    <xdr:to>
      <xdr:col>10</xdr:col>
      <xdr:colOff>703080</xdr:colOff>
      <xdr:row>96</xdr:row>
      <xdr:rowOff>21960</xdr:rowOff>
    </xdr:to>
    <xdr:graphicFrame>
      <xdr:nvGraphicFramePr>
        <xdr:cNvPr id="3" name="Diagramm 6"/>
        <xdr:cNvGraphicFramePr/>
      </xdr:nvGraphicFramePr>
      <xdr:xfrm>
        <a:off x="382680" y="14277600"/>
        <a:ext cx="6336360" cy="4032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194400</xdr:colOff>
      <xdr:row>75</xdr:row>
      <xdr:rowOff>74160</xdr:rowOff>
    </xdr:from>
    <xdr:to>
      <xdr:col>22</xdr:col>
      <xdr:colOff>40680</xdr:colOff>
      <xdr:row>96</xdr:row>
      <xdr:rowOff>180360</xdr:rowOff>
    </xdr:to>
    <xdr:graphicFrame>
      <xdr:nvGraphicFramePr>
        <xdr:cNvPr id="4" name="Diagramm 8"/>
        <xdr:cNvGraphicFramePr/>
      </xdr:nvGraphicFramePr>
      <xdr:xfrm>
        <a:off x="6962760" y="14361840"/>
        <a:ext cx="6327720" cy="4106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243720</xdr:colOff>
      <xdr:row>96</xdr:row>
      <xdr:rowOff>74520</xdr:rowOff>
    </xdr:from>
    <xdr:to>
      <xdr:col>10</xdr:col>
      <xdr:colOff>464040</xdr:colOff>
      <xdr:row>117</xdr:row>
      <xdr:rowOff>148680</xdr:rowOff>
    </xdr:to>
    <xdr:graphicFrame>
      <xdr:nvGraphicFramePr>
        <xdr:cNvPr id="5" name="Diagramm 9"/>
        <xdr:cNvGraphicFramePr/>
      </xdr:nvGraphicFramePr>
      <xdr:xfrm>
        <a:off x="729360" y="18362520"/>
        <a:ext cx="5750640" cy="4074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398880</xdr:colOff>
      <xdr:row>96</xdr:row>
      <xdr:rowOff>137520</xdr:rowOff>
    </xdr:from>
    <xdr:to>
      <xdr:col>22</xdr:col>
      <xdr:colOff>262080</xdr:colOff>
      <xdr:row>117</xdr:row>
      <xdr:rowOff>158760</xdr:rowOff>
    </xdr:to>
    <xdr:graphicFrame>
      <xdr:nvGraphicFramePr>
        <xdr:cNvPr id="6" name="Diagramm 10"/>
        <xdr:cNvGraphicFramePr/>
      </xdr:nvGraphicFramePr>
      <xdr:xfrm>
        <a:off x="7167240" y="18425520"/>
        <a:ext cx="6344640" cy="4021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56</xdr:col>
      <xdr:colOff>649800</xdr:colOff>
      <xdr:row>38</xdr:row>
      <xdr:rowOff>116640</xdr:rowOff>
    </xdr:from>
    <xdr:to>
      <xdr:col>64</xdr:col>
      <xdr:colOff>555480</xdr:colOff>
      <xdr:row>56</xdr:row>
      <xdr:rowOff>116640</xdr:rowOff>
    </xdr:to>
    <xdr:graphicFrame>
      <xdr:nvGraphicFramePr>
        <xdr:cNvPr id="7" name=""/>
        <xdr:cNvGraphicFramePr/>
      </xdr:nvGraphicFramePr>
      <xdr:xfrm>
        <a:off x="35218080" y="7355520"/>
        <a:ext cx="5757120" cy="342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443880</xdr:colOff>
      <xdr:row>1</xdr:row>
      <xdr:rowOff>95400</xdr:rowOff>
    </xdr:from>
    <xdr:to>
      <xdr:col>16</xdr:col>
      <xdr:colOff>516960</xdr:colOff>
      <xdr:row>18</xdr:row>
      <xdr:rowOff>105840</xdr:rowOff>
    </xdr:to>
    <xdr:graphicFrame>
      <xdr:nvGraphicFramePr>
        <xdr:cNvPr id="8" name=""/>
        <xdr:cNvGraphicFramePr/>
      </xdr:nvGraphicFramePr>
      <xdr:xfrm>
        <a:off x="6678360" y="285840"/>
        <a:ext cx="5762520" cy="32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631080</xdr:colOff>
      <xdr:row>19</xdr:row>
      <xdr:rowOff>74160</xdr:rowOff>
    </xdr:from>
    <xdr:to>
      <xdr:col>16</xdr:col>
      <xdr:colOff>704520</xdr:colOff>
      <xdr:row>37</xdr:row>
      <xdr:rowOff>137880</xdr:rowOff>
    </xdr:to>
    <xdr:graphicFrame>
      <xdr:nvGraphicFramePr>
        <xdr:cNvPr id="9" name=""/>
        <xdr:cNvGraphicFramePr/>
      </xdr:nvGraphicFramePr>
      <xdr:xfrm>
        <a:off x="6865560" y="3693600"/>
        <a:ext cx="5762880" cy="3492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3240</xdr:colOff>
      <xdr:row>40</xdr:row>
      <xdr:rowOff>105840</xdr:rowOff>
    </xdr:from>
    <xdr:to>
      <xdr:col>17</xdr:col>
      <xdr:colOff>81360</xdr:colOff>
      <xdr:row>59</xdr:row>
      <xdr:rowOff>42480</xdr:rowOff>
    </xdr:to>
    <xdr:graphicFrame>
      <xdr:nvGraphicFramePr>
        <xdr:cNvPr id="10" name=""/>
        <xdr:cNvGraphicFramePr/>
      </xdr:nvGraphicFramePr>
      <xdr:xfrm>
        <a:off x="7050600" y="7725960"/>
        <a:ext cx="5767560" cy="3556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792720</xdr:colOff>
      <xdr:row>34</xdr:row>
      <xdr:rowOff>63360</xdr:rowOff>
    </xdr:from>
    <xdr:to>
      <xdr:col>8</xdr:col>
      <xdr:colOff>618480</xdr:colOff>
      <xdr:row>51</xdr:row>
      <xdr:rowOff>73800</xdr:rowOff>
    </xdr:to>
    <xdr:graphicFrame>
      <xdr:nvGraphicFramePr>
        <xdr:cNvPr id="11" name=""/>
        <xdr:cNvGraphicFramePr/>
      </xdr:nvGraphicFramePr>
      <xdr:xfrm>
        <a:off x="792720" y="6540480"/>
        <a:ext cx="5371200" cy="32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114480</xdr:colOff>
      <xdr:row>4</xdr:row>
      <xdr:rowOff>10440</xdr:rowOff>
    </xdr:from>
    <xdr:to>
      <xdr:col>6</xdr:col>
      <xdr:colOff>124920</xdr:colOff>
      <xdr:row>22</xdr:row>
      <xdr:rowOff>190080</xdr:rowOff>
    </xdr:to>
    <xdr:graphicFrame>
      <xdr:nvGraphicFramePr>
        <xdr:cNvPr id="12" name=""/>
        <xdr:cNvGraphicFramePr/>
      </xdr:nvGraphicFramePr>
      <xdr:xfrm>
        <a:off x="114480" y="772560"/>
        <a:ext cx="4887360" cy="3608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239760</xdr:colOff>
      <xdr:row>25</xdr:row>
      <xdr:rowOff>137520</xdr:rowOff>
    </xdr:from>
    <xdr:to>
      <xdr:col>6</xdr:col>
      <xdr:colOff>93600</xdr:colOff>
      <xdr:row>42</xdr:row>
      <xdr:rowOff>148320</xdr:rowOff>
    </xdr:to>
    <xdr:graphicFrame>
      <xdr:nvGraphicFramePr>
        <xdr:cNvPr id="13" name=""/>
        <xdr:cNvGraphicFramePr/>
      </xdr:nvGraphicFramePr>
      <xdr:xfrm>
        <a:off x="239760" y="4899960"/>
        <a:ext cx="4730760" cy="3249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192960</xdr:colOff>
      <xdr:row>43</xdr:row>
      <xdr:rowOff>11160</xdr:rowOff>
    </xdr:from>
    <xdr:to>
      <xdr:col>16</xdr:col>
      <xdr:colOff>741960</xdr:colOff>
      <xdr:row>62</xdr:row>
      <xdr:rowOff>11160</xdr:rowOff>
    </xdr:to>
    <xdr:graphicFrame>
      <xdr:nvGraphicFramePr>
        <xdr:cNvPr id="14" name=""/>
        <xdr:cNvGraphicFramePr/>
      </xdr:nvGraphicFramePr>
      <xdr:xfrm>
        <a:off x="8814240" y="8202600"/>
        <a:ext cx="5168880" cy="3619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864720</xdr:colOff>
      <xdr:row>1</xdr:row>
      <xdr:rowOff>105480</xdr:rowOff>
    </xdr:from>
    <xdr:to>
      <xdr:col>21</xdr:col>
      <xdr:colOff>98280</xdr:colOff>
      <xdr:row>20</xdr:row>
      <xdr:rowOff>147960</xdr:rowOff>
    </xdr:to>
    <xdr:graphicFrame>
      <xdr:nvGraphicFramePr>
        <xdr:cNvPr id="15" name=""/>
        <xdr:cNvGraphicFramePr/>
      </xdr:nvGraphicFramePr>
      <xdr:xfrm>
        <a:off x="12130200" y="295920"/>
        <a:ext cx="5273280" cy="3661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218880</xdr:colOff>
      <xdr:row>20</xdr:row>
      <xdr:rowOff>105840</xdr:rowOff>
    </xdr:from>
    <xdr:to>
      <xdr:col>20</xdr:col>
      <xdr:colOff>265320</xdr:colOff>
      <xdr:row>39</xdr:row>
      <xdr:rowOff>147960</xdr:rowOff>
    </xdr:to>
    <xdr:graphicFrame>
      <xdr:nvGraphicFramePr>
        <xdr:cNvPr id="16" name=""/>
        <xdr:cNvGraphicFramePr/>
      </xdr:nvGraphicFramePr>
      <xdr:xfrm>
        <a:off x="11484360" y="3915720"/>
        <a:ext cx="5273280" cy="3661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720</xdr:colOff>
      <xdr:row>42</xdr:row>
      <xdr:rowOff>84600</xdr:rowOff>
    </xdr:from>
    <xdr:to>
      <xdr:col>9</xdr:col>
      <xdr:colOff>612000</xdr:colOff>
      <xdr:row>61</xdr:row>
      <xdr:rowOff>84600</xdr:rowOff>
    </xdr:to>
    <xdr:graphicFrame>
      <xdr:nvGraphicFramePr>
        <xdr:cNvPr id="17" name=""/>
        <xdr:cNvGraphicFramePr/>
      </xdr:nvGraphicFramePr>
      <xdr:xfrm>
        <a:off x="2439000" y="8085600"/>
        <a:ext cx="5168880" cy="3619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397080</xdr:colOff>
      <xdr:row>1</xdr:row>
      <xdr:rowOff>31680</xdr:rowOff>
    </xdr:from>
    <xdr:to>
      <xdr:col>18</xdr:col>
      <xdr:colOff>467280</xdr:colOff>
      <xdr:row>18</xdr:row>
      <xdr:rowOff>31680</xdr:rowOff>
    </xdr:to>
    <xdr:graphicFrame>
      <xdr:nvGraphicFramePr>
        <xdr:cNvPr id="18" name=""/>
        <xdr:cNvGraphicFramePr/>
      </xdr:nvGraphicFramePr>
      <xdr:xfrm>
        <a:off x="7700760" y="222120"/>
        <a:ext cx="576000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605880</xdr:colOff>
      <xdr:row>19</xdr:row>
      <xdr:rowOff>169560</xdr:rowOff>
    </xdr:from>
    <xdr:to>
      <xdr:col>18</xdr:col>
      <xdr:colOff>456840</xdr:colOff>
      <xdr:row>48</xdr:row>
      <xdr:rowOff>158760</xdr:rowOff>
    </xdr:to>
    <xdr:graphicFrame>
      <xdr:nvGraphicFramePr>
        <xdr:cNvPr id="19" name=""/>
        <xdr:cNvGraphicFramePr/>
      </xdr:nvGraphicFramePr>
      <xdr:xfrm>
        <a:off x="7909560" y="3789000"/>
        <a:ext cx="5540760" cy="5513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719280</xdr:colOff>
      <xdr:row>0</xdr:row>
      <xdr:rowOff>180000</xdr:rowOff>
    </xdr:from>
    <xdr:to>
      <xdr:col>18</xdr:col>
      <xdr:colOff>790560</xdr:colOff>
      <xdr:row>17</xdr:row>
      <xdr:rowOff>190440</xdr:rowOff>
    </xdr:to>
    <xdr:graphicFrame>
      <xdr:nvGraphicFramePr>
        <xdr:cNvPr id="20" name=""/>
        <xdr:cNvGraphicFramePr/>
      </xdr:nvGraphicFramePr>
      <xdr:xfrm>
        <a:off x="7848360" y="180000"/>
        <a:ext cx="5761080" cy="32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20160</xdr:colOff>
      <xdr:row>34</xdr:row>
      <xdr:rowOff>21240</xdr:rowOff>
    </xdr:from>
    <xdr:to>
      <xdr:col>11</xdr:col>
      <xdr:colOff>49320</xdr:colOff>
      <xdr:row>55</xdr:row>
      <xdr:rowOff>137520</xdr:rowOff>
    </xdr:to>
    <xdr:graphicFrame>
      <xdr:nvGraphicFramePr>
        <xdr:cNvPr id="21" name=""/>
        <xdr:cNvGraphicFramePr/>
      </xdr:nvGraphicFramePr>
      <xdr:xfrm>
        <a:off x="1419120" y="6498360"/>
        <a:ext cx="5759280" cy="411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52560</xdr:colOff>
      <xdr:row>19</xdr:row>
      <xdr:rowOff>32040</xdr:rowOff>
    </xdr:from>
    <xdr:to>
      <xdr:col>19</xdr:col>
      <xdr:colOff>124200</xdr:colOff>
      <xdr:row>36</xdr:row>
      <xdr:rowOff>42480</xdr:rowOff>
    </xdr:to>
    <xdr:graphicFrame>
      <xdr:nvGraphicFramePr>
        <xdr:cNvPr id="23" name=""/>
        <xdr:cNvGraphicFramePr/>
      </xdr:nvGraphicFramePr>
      <xdr:xfrm>
        <a:off x="7994520" y="3651480"/>
        <a:ext cx="5761080" cy="32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531360</xdr:colOff>
      <xdr:row>38</xdr:row>
      <xdr:rowOff>52920</xdr:rowOff>
    </xdr:from>
    <xdr:to>
      <xdr:col>18</xdr:col>
      <xdr:colOff>602640</xdr:colOff>
      <xdr:row>55</xdr:row>
      <xdr:rowOff>63360</xdr:rowOff>
    </xdr:to>
    <xdr:graphicFrame>
      <xdr:nvGraphicFramePr>
        <xdr:cNvPr id="24" name=""/>
        <xdr:cNvGraphicFramePr/>
      </xdr:nvGraphicFramePr>
      <xdr:xfrm>
        <a:off x="7660440" y="7291800"/>
        <a:ext cx="5761080" cy="32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dr="http://schemas.openxmlformats.org/drawingml/2006/chartDrawing" xmlns:a="http://schemas.openxmlformats.org/drawingml/2006/main" xmlns:c="http://schemas.openxmlformats.org/drawingml/2006/chart" xmlns:r="http://schemas.openxmlformats.org/officeDocument/2006/relationships">
  <cdr:relSizeAnchor>
    <cdr:from>
      <cdr:x>0.087005437839865</cdr:x>
      <cdr:y>0.696397341727877</cdr:y>
    </cdr:from>
    <cdr:to>
      <cdr:x>0.19582473904619</cdr:x>
      <cdr:y>0.754721930745016</cdr:y>
    </cdr:to>
    <cdr:sp>
      <cdr:nvSpPr>
        <cdr:cNvPr id="22" name=""/>
        <cdr:cNvSpPr txBox="1"/>
      </cdr:nvSpPr>
      <cdr:spPr>
        <a:xfrm>
          <a:off x="501120" y="2867040"/>
          <a:ext cx="626760" cy="240120"/>
        </a:xfrm>
        <a:prstGeom prst="rect">
          <a:avLst/>
        </a:prstGeom>
        <a:noFill/>
        <a:ln w="0">
          <a:noFill/>
        </a:ln>
      </cdr:spPr>
      <cdr:txBody>
        <a:bodyPr lIns="0" rIns="0" tIns="0" bIns="0" anchor="t">
          <a:noAutofit/>
        </a:bodyPr>
        <a:p>
          <a:r>
            <a:rPr b="1" sz="1100" spc="-1" strike="noStrike">
              <a:solidFill>
                <a:srgbClr val="ff00ff"/>
              </a:solidFill>
              <a:latin typeface="Verdana"/>
            </a:rPr>
            <a:t>10*Bm</a:t>
          </a:r>
          <a:endParaRPr b="0" sz="1100" spc="-1" strike="noStrike">
            <a:latin typeface="Times New Roman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510840</xdr:colOff>
      <xdr:row>35</xdr:row>
      <xdr:rowOff>11160</xdr:rowOff>
    </xdr:from>
    <xdr:to>
      <xdr:col>10</xdr:col>
      <xdr:colOff>95040</xdr:colOff>
      <xdr:row>54</xdr:row>
      <xdr:rowOff>55440</xdr:rowOff>
    </xdr:to>
    <xdr:graphicFrame>
      <xdr:nvGraphicFramePr>
        <xdr:cNvPr id="25" name=""/>
        <xdr:cNvGraphicFramePr/>
      </xdr:nvGraphicFramePr>
      <xdr:xfrm>
        <a:off x="1272240" y="6682320"/>
        <a:ext cx="5756400" cy="3664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652320</xdr:colOff>
      <xdr:row>4</xdr:row>
      <xdr:rowOff>360</xdr:rowOff>
    </xdr:from>
    <xdr:to>
      <xdr:col>21</xdr:col>
      <xdr:colOff>42480</xdr:colOff>
      <xdr:row>29</xdr:row>
      <xdr:rowOff>60480</xdr:rowOff>
    </xdr:to>
    <xdr:graphicFrame>
      <xdr:nvGraphicFramePr>
        <xdr:cNvPr id="26" name=""/>
        <xdr:cNvGraphicFramePr/>
      </xdr:nvGraphicFramePr>
      <xdr:xfrm>
        <a:off x="10908720" y="762480"/>
        <a:ext cx="5141520" cy="4826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Schaltfläche 1" descr="total major limit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total major limits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2" name="Schaltfläche 2" descr="partial major limit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partial major limits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3" name="Schaltfläche 3" descr="partial minor limit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partial minor limits</a:t>
              </a:r>
            </a:p>
          </xdr:txBody>
        </xdr:sp>
        <xdr:clientData/>
      </xdr:twoCellAnchor>
    </mc:Choice>
  </mc:AlternateContent>
</xdr:wsDr>
</file>

<file path=xl/tables/table1.xml><?xml version="1.0" encoding="utf-8"?>
<table xmlns="http://schemas.openxmlformats.org/spreadsheetml/2006/main" id="1" name="datetopo" displayName="datetopo" ref="D2:D250" headerRowCount="1" totalsRowCount="0" totalsRowShown="0">
  <tableColumns count="1">
    <tableColumn id="1" name="Spalte1"/>
  </tableColumns>
</table>
</file>

<file path=xl/tables/table2.xml><?xml version="1.0" encoding="utf-8"?>
<table xmlns="http://schemas.openxmlformats.org/spreadsheetml/2006/main" id="2" name="rgeo" displayName="rgeo" ref="AX2:AX250" headerRowCount="1" totalsRowCount="0" totalsRowShown="0">
  <tableColumns count="1">
    <tableColumn id="1" name="Spalte1"/>
  </tableColumns>
</table>
</file>

<file path=xl/tables/table3.xml><?xml version="1.0" encoding="utf-8"?>
<table xmlns="http://schemas.openxmlformats.org/spreadsheetml/2006/main" id="3" name="rtopo" displayName="rtopo" ref="BJ2:BJ250" headerRowCount="1" totalsRowCount="0" totalsRowShown="0">
  <tableColumns count="1">
    <tableColumn id="1" name="Spalte1"/>
  </tableColumns>
</table>
</file>

<file path=xl/tables/table4.xml><?xml version="1.0" encoding="utf-8"?>
<table xmlns="http://schemas.openxmlformats.org/spreadsheetml/2006/main" id="4" name="topo" displayName="topo" ref="BL3:BL249" headerRowCount="1" totalsRowCount="0" totalsRowShown="0">
  <tableColumns count="1">
    <tableColumn id="1" name="Spalte1"/>
  </tableColumns>
</table>
</file>

<file path=xl/tables/table5.xml><?xml version="1.0" encoding="utf-8"?>
<table xmlns="http://schemas.openxmlformats.org/spreadsheetml/2006/main" id="5" name="uttopo" displayName="uttopo" ref="C2:C250" headerRowCount="1" totalsRowCount="0" totalsRowShown="0">
  <tableColumns count="1">
    <tableColumn id="1" name="Spalte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4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s9.xml"/><Relationship Id="rId4" Type="http://schemas.openxmlformats.org/officeDocument/2006/relationships/ctrlProp" Target="../ctrlProps/ctrlProps10.xml"/><Relationship Id="rId5" Type="http://schemas.openxmlformats.org/officeDocument/2006/relationships/ctrlProp" Target="../ctrlProps/ctrlProps1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trlProp" Target="../ctrlProps/ctrlProps13.xml"/><Relationship Id="rId4" Type="http://schemas.openxmlformats.org/officeDocument/2006/relationships/ctrlProp" Target="../ctrlProps/ctrlProps14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4" activeCellId="0" sqref="K34"/>
    </sheetView>
  </sheetViews>
  <sheetFormatPr defaultColWidth="9.625" defaultRowHeight="15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0" width="10.72"/>
    <col collapsed="false" customWidth="true" hidden="false" outlineLevel="0" max="3" min="3" style="0" width="9.02"/>
    <col collapsed="false" customWidth="true" hidden="false" outlineLevel="0" max="4" min="4" style="0" width="10.96"/>
    <col collapsed="false" customWidth="true" hidden="false" outlineLevel="0" max="7" min="7" style="0" width="10.6"/>
  </cols>
  <sheetData>
    <row r="1" customFormat="false" ht="18.7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8.7" hidden="false" customHeight="false" outlineLevel="0" collapsed="false">
      <c r="A2" s="4" t="n">
        <v>0</v>
      </c>
      <c r="B2" s="4" t="n">
        <v>0</v>
      </c>
      <c r="C2" s="5" t="n">
        <v>10</v>
      </c>
      <c r="D2" s="5" t="n">
        <v>2022</v>
      </c>
      <c r="E2" s="5" t="n">
        <v>-23</v>
      </c>
      <c r="F2" s="5" t="n"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customFormat="false" ht="17" hidden="false" customHeight="true" outlineLevel="0" collapsed="false">
      <c r="B3" s="6" t="s">
        <v>6</v>
      </c>
      <c r="C3" s="6" t="n">
        <f aca="false">IF(OR($C$2=1,$C$2=3,$C$2=5,$C$2=8,$C$2=10,C$2=10,C$2=12),31,IF(OR($C$2=4,$C$2=6,$C$2=9,$C$2=11),30,IF(AND($C$2=2,$D$3="common year"),28,29)))</f>
        <v>31</v>
      </c>
      <c r="D3" s="7" t="str">
        <f aca="false">calc!$G$9</f>
        <v>common year</v>
      </c>
    </row>
    <row r="5" customFormat="false" ht="15" hidden="false" customHeight="false" outlineLevel="0" collapsed="false">
      <c r="A5" s="9" t="n">
        <v>44855</v>
      </c>
    </row>
    <row r="6" customFormat="false" ht="15" hidden="false" customHeight="false" outlineLevel="0" collapsed="false">
      <c r="D6" s="0" t="s">
        <v>7</v>
      </c>
      <c r="F6" s="10" t="n">
        <f aca="false">A2+B2/60</f>
        <v>0</v>
      </c>
      <c r="G6" s="11" t="s">
        <v>8</v>
      </c>
      <c r="O6" s="0" t="s">
        <v>9</v>
      </c>
    </row>
    <row r="7" customFormat="false" ht="15" hidden="false" customHeight="false" outlineLevel="0" collapsed="false">
      <c r="A7" s="12" t="s">
        <v>10</v>
      </c>
    </row>
    <row r="8" customFormat="false" ht="15" hidden="false" customHeight="false" outlineLevel="0" collapsed="false">
      <c r="A8" s="12" t="s">
        <v>11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10" customFormat="false" ht="15" hidden="false" customHeight="false" outlineLevel="0" collapsed="false">
      <c r="A10" s="8" t="s">
        <v>12</v>
      </c>
      <c r="B10" s="8"/>
    </row>
    <row r="11" customFormat="false" ht="15" hidden="false" customHeight="false" outlineLevel="0" collapsed="false">
      <c r="A11" s="13" t="s">
        <v>13</v>
      </c>
      <c r="B11" s="13"/>
      <c r="J11" s="12" t="s">
        <v>14</v>
      </c>
      <c r="K11" s="12" t="s">
        <v>15</v>
      </c>
    </row>
    <row r="12" customFormat="false" ht="15" hidden="false" customHeight="false" outlineLevel="0" collapsed="false">
      <c r="J12" s="14" t="n">
        <f aca="false">topo!$BJ$253</f>
        <v>410624.654474818</v>
      </c>
      <c r="K12" s="14" t="n">
        <f aca="false">topo!$BJ$254</f>
        <v>361993.318172706</v>
      </c>
    </row>
    <row r="13" customFormat="false" ht="15" hidden="false" customHeight="false" outlineLevel="0" collapsed="false">
      <c r="J13" s="12" t="s">
        <v>16</v>
      </c>
      <c r="K13" s="12" t="s">
        <v>16</v>
      </c>
    </row>
    <row r="14" customFormat="false" ht="15" hidden="false" customHeight="false" outlineLevel="0" collapsed="false">
      <c r="J14" s="12" t="n">
        <f aca="false">topo!$BL$253</f>
        <v>17</v>
      </c>
      <c r="K14" s="12" t="n">
        <f aca="false">topo!$BL$254</f>
        <v>29</v>
      </c>
    </row>
    <row r="15" customFormat="false" ht="15" hidden="false" customHeight="false" outlineLevel="0" collapsed="false">
      <c r="J15" s="12" t="s">
        <v>17</v>
      </c>
      <c r="K15" s="12" t="s">
        <v>17</v>
      </c>
    </row>
    <row r="16" customFormat="false" ht="15" hidden="false" customHeight="false" outlineLevel="0" collapsed="false">
      <c r="J16" s="15" t="n">
        <f aca="false">topo!$BM$253</f>
        <v>18</v>
      </c>
      <c r="K16" s="15" t="n">
        <f aca="false">topo!$BM$254</f>
        <v>15</v>
      </c>
    </row>
    <row r="31" customFormat="false" ht="15" hidden="false" customHeight="false" outlineLevel="0" collapsed="false">
      <c r="A31" s="12" t="s">
        <v>18</v>
      </c>
      <c r="B31" s="12" t="s">
        <v>19</v>
      </c>
    </row>
    <row r="32" customFormat="false" ht="15" hidden="false" customHeight="false" outlineLevel="0" collapsed="false">
      <c r="A32" s="16" t="n">
        <f aca="false">topo!$AX$253</f>
        <v>404325.360487825</v>
      </c>
      <c r="B32" s="16" t="n">
        <f aca="false">topo!$AX$254</f>
        <v>368293.650089974</v>
      </c>
    </row>
    <row r="33" customFormat="false" ht="15" hidden="false" customHeight="false" outlineLevel="0" collapsed="false">
      <c r="A33" s="12" t="s">
        <v>16</v>
      </c>
      <c r="B33" s="12" t="s">
        <v>16</v>
      </c>
    </row>
    <row r="34" customFormat="false" ht="15" hidden="false" customHeight="false" outlineLevel="0" collapsed="false">
      <c r="A34" s="17" t="n">
        <f aca="false">topo!$AZ$253</f>
        <v>17</v>
      </c>
      <c r="B34" s="17" t="n">
        <f aca="false">topo!$AZ$254</f>
        <v>29</v>
      </c>
    </row>
    <row r="35" customFormat="false" ht="15" hidden="false" customHeight="false" outlineLevel="0" collapsed="false">
      <c r="A35" s="12" t="s">
        <v>17</v>
      </c>
      <c r="B35" s="12" t="s">
        <v>17</v>
      </c>
    </row>
    <row r="36" customFormat="false" ht="15" hidden="false" customHeight="false" outlineLevel="0" collapsed="false">
      <c r="A36" s="15" t="n">
        <f aca="false">topo!$BA$253</f>
        <v>9</v>
      </c>
      <c r="B36" s="15" t="n">
        <f aca="false">topo!$BA$254</f>
        <v>15</v>
      </c>
    </row>
  </sheetData>
  <mergeCells count="2">
    <mergeCell ref="A10:B10"/>
    <mergeCell ref="A11:B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N100"/>
  <sheetViews>
    <sheetView showFormulas="false" showGridLines="true" showRowColHeaders="true" showZeros="true" rightToLeft="false" tabSelected="false" showOutlineSymbols="true" defaultGridColor="true" view="normal" topLeftCell="AQ20" colorId="64" zoomScale="100" zoomScaleNormal="100" zoomScalePageLayoutView="100" workbookViewId="0">
      <selection pane="topLeft" activeCell="AY2" activeCellId="0" sqref="AY2"/>
    </sheetView>
  </sheetViews>
  <sheetFormatPr defaultColWidth="9.625" defaultRowHeight="15" zeroHeight="false" outlineLevelRow="0" outlineLevelCol="0"/>
  <cols>
    <col collapsed="false" customWidth="true" hidden="false" outlineLevel="0" max="1" min="1" style="17" width="5.75"/>
    <col collapsed="false" customWidth="true" hidden="false" outlineLevel="0" max="2" min="2" style="17" width="5.87"/>
    <col collapsed="false" customWidth="true" hidden="false" outlineLevel="0" max="3" min="3" style="18" width="6.09"/>
    <col collapsed="false" customWidth="true" hidden="false" outlineLevel="0" max="4" min="4" style="19" width="5.64"/>
    <col collapsed="false" customWidth="true" hidden="false" outlineLevel="0" max="5" min="5" style="20" width="6.43"/>
    <col collapsed="false" customWidth="true" hidden="false" outlineLevel="0" max="6" min="6" style="20" width="5.75"/>
    <col collapsed="false" customWidth="true" hidden="false" outlineLevel="0" max="7" min="7" style="20" width="11.16"/>
    <col collapsed="false" customWidth="true" hidden="false" outlineLevel="0" max="8" min="8" style="10" width="7.44"/>
    <col collapsed="false" customWidth="true" hidden="false" outlineLevel="0" max="9" min="9" style="21" width="9.99"/>
    <col collapsed="false" customWidth="true" hidden="false" outlineLevel="0" max="10" min="10" style="10" width="7.11"/>
    <col collapsed="false" customWidth="true" hidden="false" outlineLevel="0" max="11" min="11" style="21" width="8.91"/>
    <col collapsed="false" customWidth="true" hidden="false" outlineLevel="0" max="12" min="12" style="22" width="10.94"/>
    <col collapsed="false" customWidth="true" hidden="false" outlineLevel="0" max="13" min="13" style="23" width="8.8"/>
    <col collapsed="false" customWidth="true" hidden="false" outlineLevel="0" max="14" min="14" style="22" width="6.77"/>
    <col collapsed="false" customWidth="true" hidden="false" outlineLevel="0" max="15" min="15" style="24" width="6.2"/>
    <col collapsed="false" customWidth="true" hidden="false" outlineLevel="0" max="16" min="16" style="22" width="8.68"/>
    <col collapsed="false" customWidth="true" hidden="false" outlineLevel="0" max="17" min="17" style="18" width="5.75"/>
    <col collapsed="false" customWidth="true" hidden="false" outlineLevel="0" max="18" min="18" style="18" width="5.64"/>
    <col collapsed="false" customWidth="true" hidden="false" outlineLevel="0" max="20" min="19" style="18" width="5.75"/>
    <col collapsed="false" customWidth="true" hidden="false" outlineLevel="0" max="21" min="21" style="18" width="5.64"/>
    <col collapsed="false" customWidth="true" hidden="false" outlineLevel="0" max="22" min="22" style="17" width="6.82"/>
    <col collapsed="false" customWidth="true" hidden="false" outlineLevel="0" max="23" min="23" style="25" width="6.43"/>
    <col collapsed="false" customWidth="true" hidden="false" outlineLevel="0" max="24" min="24" style="17" width="6.43"/>
    <col collapsed="false" customWidth="true" hidden="false" outlineLevel="0" max="25" min="25" style="17" width="7.33"/>
    <col collapsed="false" customWidth="true" hidden="false" outlineLevel="0" max="26" min="26" style="17" width="7.78"/>
    <col collapsed="false" customWidth="true" hidden="false" outlineLevel="0" max="27" min="27" style="17" width="5.52"/>
    <col collapsed="false" customWidth="true" hidden="false" outlineLevel="0" max="28" min="28" style="17" width="6.2"/>
    <col collapsed="false" customWidth="true" hidden="false" outlineLevel="0" max="29" min="29" style="17" width="6.54"/>
    <col collapsed="false" customWidth="true" hidden="false" outlineLevel="0" max="30" min="30" style="17" width="6.09"/>
    <col collapsed="false" customWidth="true" hidden="false" outlineLevel="0" max="31" min="31" style="17" width="6.2"/>
    <col collapsed="false" customWidth="true" hidden="false" outlineLevel="0" max="32" min="32" style="17" width="5.64"/>
    <col collapsed="false" customWidth="true" hidden="false" outlineLevel="0" max="33" min="33" style="22" width="5.98"/>
    <col collapsed="false" customWidth="true" hidden="false" outlineLevel="0" max="34" min="34" style="26" width="6.2"/>
    <col collapsed="false" customWidth="true" hidden="false" outlineLevel="0" max="35" min="35" style="10" width="6.43"/>
    <col collapsed="false" customWidth="true" hidden="false" outlineLevel="0" max="36" min="36" style="18" width="11.16"/>
    <col collapsed="false" customWidth="true" hidden="false" outlineLevel="0" max="37" min="37" style="17" width="6.88"/>
    <col collapsed="false" customWidth="true" hidden="false" outlineLevel="0" max="38" min="38" style="18" width="5.98"/>
    <col collapsed="false" customWidth="true" hidden="false" outlineLevel="0" max="39" min="39" style="17" width="8.46"/>
    <col collapsed="false" customWidth="true" hidden="false" outlineLevel="0" max="40" min="40" style="10" width="9.13"/>
    <col collapsed="false" customWidth="false" hidden="false" outlineLevel="0" max="41" min="41" style="20" width="9.63"/>
    <col collapsed="false" customWidth="true" hidden="false" outlineLevel="0" max="42" min="42" style="27" width="7.78"/>
    <col collapsed="false" customWidth="true" hidden="false" outlineLevel="0" max="43" min="43" style="28" width="6.54"/>
    <col collapsed="false" customWidth="true" hidden="false" outlineLevel="0" max="44" min="44" style="10" width="6.2"/>
    <col collapsed="false" customWidth="true" hidden="false" outlineLevel="0" max="45" min="45" style="10" width="5.98"/>
    <col collapsed="false" customWidth="true" hidden="false" outlineLevel="0" max="46" min="46" style="10" width="10.26"/>
    <col collapsed="false" customWidth="true" hidden="false" outlineLevel="0" max="47" min="47" style="18" width="7.78"/>
    <col collapsed="false" customWidth="true" hidden="false" outlineLevel="0" max="48" min="48" style="29" width="10.83"/>
    <col collapsed="false" customWidth="true" hidden="false" outlineLevel="0" max="49" min="49" style="10" width="7.89"/>
    <col collapsed="false" customWidth="true" hidden="false" outlineLevel="0" max="50" min="50" style="10" width="8.46"/>
    <col collapsed="false" customWidth="true" hidden="false" outlineLevel="0" max="51" min="51" style="30" width="8.8"/>
    <col collapsed="false" customWidth="true" hidden="false" outlineLevel="0" max="52" min="52" style="17" width="5.87"/>
    <col collapsed="false" customWidth="true" hidden="false" outlineLevel="0" max="53" min="53" style="17" width="6.43"/>
    <col collapsed="false" customWidth="true" hidden="false" outlineLevel="0" max="56" min="54" style="31" width="8.53"/>
    <col collapsed="false" customWidth="true" hidden="false" outlineLevel="0" max="57" min="57" style="32" width="8.9"/>
    <col collapsed="false" customWidth="true" hidden="false" outlineLevel="0" max="58" min="58" style="33" width="8.16"/>
    <col collapsed="false" customWidth="true" hidden="false" outlineLevel="0" max="61" min="59" style="27" width="7.68"/>
    <col collapsed="false" customWidth="false" hidden="false" outlineLevel="0" max="62" min="62" style="34" width="9.59"/>
    <col collapsed="false" customWidth="true" hidden="false" outlineLevel="0" max="63" min="63" style="35" width="9.99"/>
    <col collapsed="false" customWidth="true" hidden="false" outlineLevel="0" max="65" min="65" style="0" width="9.02"/>
  </cols>
  <sheetData>
    <row r="1" customFormat="false" ht="15" hidden="false" customHeight="false" outlineLevel="0" collapsed="false">
      <c r="A1" s="36" t="s">
        <v>0</v>
      </c>
      <c r="B1" s="36" t="s">
        <v>1</v>
      </c>
      <c r="C1" s="37" t="s">
        <v>8</v>
      </c>
      <c r="D1" s="38" t="s">
        <v>20</v>
      </c>
      <c r="E1" s="36" t="s">
        <v>2</v>
      </c>
      <c r="F1" s="36" t="s">
        <v>3</v>
      </c>
      <c r="G1" s="36" t="s">
        <v>21</v>
      </c>
      <c r="H1" s="39" t="s">
        <v>22</v>
      </c>
      <c r="I1" s="39" t="s">
        <v>23</v>
      </c>
      <c r="J1" s="39" t="s">
        <v>24</v>
      </c>
      <c r="K1" s="39" t="s">
        <v>25</v>
      </c>
      <c r="L1" s="40" t="s">
        <v>26</v>
      </c>
      <c r="M1" s="41" t="s">
        <v>27</v>
      </c>
      <c r="N1" s="40" t="s">
        <v>28</v>
      </c>
      <c r="O1" s="42" t="s">
        <v>29</v>
      </c>
      <c r="P1" s="40" t="s">
        <v>30</v>
      </c>
      <c r="Q1" s="37" t="s">
        <v>31</v>
      </c>
      <c r="R1" s="37" t="s">
        <v>32</v>
      </c>
      <c r="S1" s="42" t="s">
        <v>33</v>
      </c>
      <c r="T1" s="37" t="s">
        <v>34</v>
      </c>
      <c r="U1" s="37" t="s">
        <v>35</v>
      </c>
      <c r="V1" s="38" t="s">
        <v>36</v>
      </c>
      <c r="W1" s="43" t="s">
        <v>37</v>
      </c>
      <c r="X1" s="38" t="s">
        <v>38</v>
      </c>
      <c r="Y1" s="38" t="s">
        <v>39</v>
      </c>
      <c r="Z1" s="38" t="s">
        <v>40</v>
      </c>
      <c r="AA1" s="38" t="s">
        <v>41</v>
      </c>
      <c r="AB1" s="38" t="s">
        <v>42</v>
      </c>
      <c r="AC1" s="38" t="s">
        <v>43</v>
      </c>
      <c r="AD1" s="38" t="s">
        <v>44</v>
      </c>
      <c r="AE1" s="38" t="s">
        <v>45</v>
      </c>
      <c r="AF1" s="38" t="s">
        <v>46</v>
      </c>
      <c r="AG1" s="40" t="s">
        <v>47</v>
      </c>
      <c r="AH1" s="44" t="s">
        <v>48</v>
      </c>
      <c r="AI1" s="40" t="s">
        <v>49</v>
      </c>
      <c r="AJ1" s="37" t="s">
        <v>50</v>
      </c>
      <c r="AK1" s="38" t="s">
        <v>51</v>
      </c>
      <c r="AL1" s="37" t="s">
        <v>52</v>
      </c>
      <c r="AM1" s="38" t="s">
        <v>53</v>
      </c>
      <c r="AN1" s="40" t="s">
        <v>54</v>
      </c>
      <c r="AO1" s="45" t="s">
        <v>28</v>
      </c>
      <c r="AP1" s="37" t="s">
        <v>55</v>
      </c>
      <c r="AQ1" s="25" t="s">
        <v>56</v>
      </c>
      <c r="AR1" s="14" t="n">
        <v>1</v>
      </c>
      <c r="AS1" s="14" t="n">
        <v>2</v>
      </c>
      <c r="AT1" s="10" t="s">
        <v>57</v>
      </c>
      <c r="AU1" s="18" t="s">
        <v>58</v>
      </c>
      <c r="AV1" s="29" t="s">
        <v>59</v>
      </c>
      <c r="AW1" s="10" t="s">
        <v>60</v>
      </c>
      <c r="AX1" s="10" t="s">
        <v>61</v>
      </c>
      <c r="AY1" s="30" t="s">
        <v>62</v>
      </c>
      <c r="AZ1" s="17" t="s">
        <v>63</v>
      </c>
      <c r="BA1" s="17" t="s">
        <v>64</v>
      </c>
      <c r="BB1" s="31" t="s">
        <v>65</v>
      </c>
      <c r="BC1" s="31" t="s">
        <v>66</v>
      </c>
      <c r="BD1" s="31" t="s">
        <v>67</v>
      </c>
      <c r="BE1" s="32" t="s">
        <v>68</v>
      </c>
      <c r="BF1" s="33" t="s">
        <v>36</v>
      </c>
      <c r="BG1" s="27" t="s">
        <v>69</v>
      </c>
      <c r="BH1" s="27" t="s">
        <v>70</v>
      </c>
      <c r="BI1" s="27" t="s">
        <v>71</v>
      </c>
      <c r="BJ1" s="46" t="s">
        <v>72</v>
      </c>
      <c r="BK1" s="35" t="s">
        <v>73</v>
      </c>
    </row>
    <row r="2" customFormat="false" ht="15" hidden="false" customHeight="false" outlineLevel="0" collapsed="false">
      <c r="A2" s="47" t="n">
        <f aca="false">input!$A$2</f>
        <v>0</v>
      </c>
      <c r="B2" s="47" t="n">
        <f aca="false">input!$B$2</f>
        <v>0</v>
      </c>
      <c r="C2" s="18" t="n">
        <f aca="false">A2+B2/60</f>
        <v>0</v>
      </c>
      <c r="D2" s="17" t="n">
        <v>1</v>
      </c>
      <c r="E2" s="47" t="n">
        <f aca="false">input!$C$2</f>
        <v>10</v>
      </c>
      <c r="F2" s="47" t="n">
        <f aca="false">input!$D$2</f>
        <v>2022</v>
      </c>
      <c r="G2" s="47" t="n">
        <f aca="false">input!$E$2</f>
        <v>-23</v>
      </c>
      <c r="H2" s="39" t="n">
        <f aca="false">AM2</f>
        <v>-15.800638274534</v>
      </c>
      <c r="I2" s="48" t="n">
        <f aca="false">H2+1.02/(TAN($G$6*(H2+10.3/(H2+5.11)))*60)</f>
        <v>-15.8570727688493</v>
      </c>
      <c r="J2" s="39" t="n">
        <f aca="false">100*(1+COS($G$6*AQ2))/2</f>
        <v>28.0287694159073</v>
      </c>
      <c r="K2" s="48" t="n">
        <f aca="false">IF(AI2&gt;180,AT2-180,AT2+180)</f>
        <v>234.546147481958</v>
      </c>
      <c r="L2" s="10" t="n">
        <f aca="false">INT(365.25*IF(E2&gt;2,F2+4716,F2-1+4716))+INT(30.6001*IF(E2&gt;2,E2+1,E2+12+1))+D2+C2/24+2-INT(IF(E2&gt;2,F2,F2-1)/100)+INT(INT(IF(E2&gt;2,F2,F2-1)/100)/4)-1524.5</f>
        <v>2459853.5</v>
      </c>
      <c r="M2" s="49" t="n">
        <f aca="false">(L2-2451545)/36525</f>
        <v>0.227474332648871</v>
      </c>
      <c r="N2" s="10" t="n">
        <f aca="false">MOD(280.46061837+360.98564736629*(L2-2451545)+0.000387933*M2^2-M2^3/38710000+$G$4,360)</f>
        <v>9.71178126335144</v>
      </c>
      <c r="O2" s="24" t="n">
        <f aca="false">0.60643382+1336.85522467*M2 - 0.00000313*M2^2 - INT(0.60643382+1336.85522467*M2 - 0.00000313*M2^2)</f>
        <v>0.70668373800379</v>
      </c>
      <c r="P2" s="10" t="n">
        <f aca="false">22640*SIN(Q2)-4586*SIN(Q2-2*S2)+2370*SIN(2*S2)+769*SIN(2*Q2)-668*SIN(R2)-412*SIN(2*T2)-212*SIN(2*Q2-2*S2)-206*SIN(Q2+R2-2*S2)+192*SIN(Q2+2*S2)-165*SIN(R2-2*S2)-125*SIN(S2)-110*SIN(Q2+R2)+148*SIN(Q2-R2)-55*SIN(2*T2-2*S2)</f>
        <v>-10176.0094311988</v>
      </c>
      <c r="Q2" s="18" t="n">
        <f aca="false">2*PI()*(0.374897+1325.55241*M2 - INT(0.374897+1325.55241*M2))</f>
        <v>5.680293921692</v>
      </c>
      <c r="R2" s="26" t="n">
        <f aca="false">2*PI()*(0.99312619+99.99735956*M2 - 0.00000044*M2^2 - INT(0.99312619+99.99735956*M2- 0.00000044*M2^2))</f>
        <v>4.64929825877481</v>
      </c>
      <c r="S2" s="26" t="n">
        <f aca="false">2*PI()*(0.827361+1236.853086*M2 - INT(0.827361+1236.853086*M2))</f>
        <v>1.12903387764998</v>
      </c>
      <c r="T2" s="26" t="n">
        <f aca="false">2*PI()*(0.259086+1342.227825*M2 - INT(0.259086+1342.227825*M2))</f>
        <v>3.65345080287198</v>
      </c>
      <c r="U2" s="26" t="n">
        <f aca="false">T2+(P2+412*SIN(2*T2)+541*SIN(R2))/206264.8062</f>
        <v>3.6032043945871</v>
      </c>
      <c r="V2" s="26" t="n">
        <f aca="false">T2-2*S2</f>
        <v>1.39538304757201</v>
      </c>
      <c r="W2" s="25" t="n">
        <f aca="false">-526*SIN(V2)+44*SIN(Q2+V2)-31*SIN(-Q2+V2)-23*SIN(R2+V2)+11*SIN(-R2+V2)-25*SIN(-2*Q2+T2)+21*SIN(-Q2+T2)</f>
        <v>-502.262278248768</v>
      </c>
      <c r="X2" s="26" t="n">
        <f aca="false">2*PI()*(O2+P2/1296000-INT(O2+P2/1296000))</f>
        <v>4.39089019353471</v>
      </c>
      <c r="Y2" s="26" t="n">
        <f aca="false">(18520*SIN(U2)+W2)/206264.8062</f>
        <v>-0.0424256438022818</v>
      </c>
      <c r="Z2" s="26" t="n">
        <f aca="false">Y2*180/PI()</f>
        <v>-2.4308103329961</v>
      </c>
      <c r="AA2" s="26" t="n">
        <f aca="false">COS(Y2)*COS(X2)</f>
        <v>-0.315704571195698</v>
      </c>
      <c r="AB2" s="26" t="n">
        <f aca="false">COS(Y2)*SIN(X2)</f>
        <v>-0.947909156057302</v>
      </c>
      <c r="AC2" s="26" t="n">
        <f aca="false">SIN(Y2)</f>
        <v>-0.042412917712331</v>
      </c>
      <c r="AD2" s="26" t="n">
        <f aca="false">COS($G$6*(23.4393-46.815*M2/3600))*AB2-SIN($G$6*(23.4393-46.815*M2/3600))*AC2</f>
        <v>-0.852840167737263</v>
      </c>
      <c r="AE2" s="26" t="n">
        <f aca="false">SIN($G$6*(23.4393-46.815*M2/3600))*AB2+COS($G$6*(23.4393-46.815*M2/3600))*AC2</f>
        <v>-0.415925801099208</v>
      </c>
      <c r="AF2" s="26" t="n">
        <f aca="false">SQRT(1-AE2*AE2)</f>
        <v>0.909398552879859</v>
      </c>
      <c r="AG2" s="10" t="n">
        <f aca="false">ATAN(AE2/AF2)/$G$6</f>
        <v>-24.5776321264866</v>
      </c>
      <c r="AH2" s="26" t="n">
        <f aca="false">IF(24*ATAN(AD2/(AA2+AF2))/PI()&gt;0,24*ATAN(AD2/(AA2+AF2))/PI(),24*ATAN(AD2/(AA2+AF2))/PI()+24)</f>
        <v>16.645762917233</v>
      </c>
      <c r="AI2" s="10" t="n">
        <f aca="false">IF(N2-15*AH2&gt;0,N2-15*AH2,360+N2-15*AH2)</f>
        <v>120.025337504856</v>
      </c>
      <c r="AJ2" s="18" t="n">
        <f aca="false">0.950724+0.051818*COS(Q2)+0.009531*COS(2*S2-Q2)+0.007843*COS(2*S2)+0.002824*COS(2*Q2)+0.000857*COS(2*S2+Q2)+0.000533*COS(2*S2-R2)+0.000401*COS(2*S2-R2-Q2)+0.00032*COS(Q2-R2)-0.000271*COS(S2)</f>
        <v>0.97978051068691</v>
      </c>
      <c r="AK2" s="50" t="n">
        <f aca="false">ASIN(COS($G$6*$G$2)*COS($G$6*AG2)*COS($G$6*AI2)+SIN($G$6*$G$2)*SIN($G$6*AG2))/$G$6</f>
        <v>-14.854084763587</v>
      </c>
      <c r="AL2" s="18" t="n">
        <f aca="false">ASIN((0.9983271+0.0016764*COS($G$6*2*$G$2))*COS($G$6*AK2)*SIN($G$6*AJ2))/$G$6</f>
        <v>0.946553510946934</v>
      </c>
      <c r="AM2" s="18" t="n">
        <f aca="false">AK2-AL2</f>
        <v>-15.800638274534</v>
      </c>
      <c r="AN2" s="10" t="n">
        <f aca="false"> IF(280.4664567 + 360007.6982779*M2/10 + 0.03032028*M2^2/100 + M2^3/49931000&lt;0,MOD(280.4664567 + 360007.6982779*M2/10 + 0.03032028*M2^2/100 + M2^3/49931000+360,360),MOD(280.4664567 + 360007.6982779*M2/10 + 0.03032028*M2^2/100 + M2^3/49931000,360))</f>
        <v>189.717563811462</v>
      </c>
      <c r="AO2" s="27" t="n">
        <f aca="false"> AN2 + (1.9146 - 0.004817*M2 - 0.000014*M2^2)*SIN(R2)+ (0.019993 - 0.000101*M2)*SIN(2*R2)+ 0.00029*SIN(3*R2)</f>
        <v>187.810665295073</v>
      </c>
      <c r="AP2" s="18" t="n">
        <f aca="false">ACOS(COS(X2-$G$6*AO2)*COS(Y2))/$G$6</f>
        <v>63.7942121941362</v>
      </c>
      <c r="AQ2" s="25" t="n">
        <f aca="false">180 - AP2 -0.1468*(1-0.0549*SIN(R2))*SIN($G$6*AP2)/(1-0.0167*SIN($G$6*AO2))</f>
        <v>116.067174864776</v>
      </c>
      <c r="AR2" s="25" t="n">
        <f aca="false">SIN($G$6*AI2)</f>
        <v>0.865804207669224</v>
      </c>
      <c r="AS2" s="25" t="n">
        <f aca="false">COS($G$6*AI2)*SIN($G$6*$G$2) - TAN($G$6*AG2)*COS($G$6*$G$2)</f>
        <v>0.616520604654093</v>
      </c>
      <c r="AT2" s="25" t="n">
        <f aca="false">IF(OR(AND(AR2*AS2&gt;0), AND(AR2&lt;0,AS2&gt;0)), MOD(ATAN2(AS2,AR2)/$G$6+360,360),  ATAN2(AS2,AR2)/$G$6)</f>
        <v>54.5461474819576</v>
      </c>
      <c r="AV2" s="29" t="n">
        <f aca="false">(1+SIN($G$6*H2)*SIN($G$6*AJ2))*120*ASIN(0.272481*SIN($G$6*AJ2))/$G$6</f>
        <v>31.8859859236292</v>
      </c>
      <c r="AW2" s="10" t="n">
        <f aca="false">COS(X2)</f>
        <v>-0.315988908330502</v>
      </c>
      <c r="AX2" s="10" t="n">
        <f aca="false">SIN(X2)</f>
        <v>-0.948762883871464</v>
      </c>
      <c r="AY2" s="30" t="n">
        <f aca="false"> 385000.56 + (-20905355*COS(Q2) - 3699111*COS(2*S2-Q2) - 2955968*COS(2*S2) - 569925*COS(2*Q2) + (1-0.002516*M2)*48888*COS(R2) - 3149*COS(2*T2)  +246158*COS(2*S2-2*Q2) -(1-0.002516*M2)*152138*COS(2*S2-R2-Q2) -170733*COS(2*S2+Q2) -(1-0.002516*M2)*204586*COS(2*S2-R2) -(1-0.002516*M2)*129620*COS(R2-Q2)  + 108743*COS(S2) +(1-0.002516*M2)*104755*COS(R2+Q2) +10321*COS(2*S2-2*T2) +79661*COS(Q2-2*T2) -34782*COS(4*S2-Q2) -23210*COS(3*Q2)  -21636*COS(4*S2-2*Q2) +(1-0.002516*M2)*24208*COS(2*S2+R2-Q2) +(1-0.002516*M2)*30824*COS(2*S2+R2) -8379*COS(S2-Q2) -(1-0.002516*M2)*16675*COS(S2+R2)  -(1-0.002516*M2)*12831*COS(2*S2-R2+Q2) -10445*COS(2*S2+2*Q2) -11650*COS(4*S2) +14403*COS(2*S2-3*Q2) -(1-0.002516*M2)*7003*COS(R2-2*Q2)  + (1-0.002516*M2)*10056*COS(2*S2-R2-2*Q2) +6322*COS(S2+Q2) -(1-0.002516*M2)*(1-0.002516*M2)*9884*COS(2*S2-2*R2) +(1-0.002516*M2)*5751*COS(R2+2*Q2) -(1-0.002516*M2)*(1-0.002516*M2)*4950*COS(2*S2-2*R2-Q2)  +4130*COS(2*S2+Q2-2*T2) -(1-0.002516*M2)*3958*COS(4*S2-R2-Q2) +3258*COS(3*S2-Q2) +(1-0.002516*M2)*2616*COS(2*S2+R2+Q2) -(1-0.002516*M2)*1897*COS(4*S2-R2-2*Q2)  -(1-0.002516*M2)*(1-0.002516*M2)*2117*COS(2*R2-Q2) +(1-0.002516*M2)*(1-0.002516*M2)*2354*COS(2*S2+2*R2-Q2) -1423*COS(4*S2+Q2) -1117*COS(4*Q2) -(1-0.002516*M2)*1571*COS(4*S2-R2)  -1739*COS(S2-2*Q2) -4421*COS(2*Q2-2*T2) +(1-0.002516*M2)*(1-0.002516*M2)*1165*COS(2*R2+Q2) +8752*COS(2*S2-Q2-2*T2))/1000</f>
        <v>372864.071469498</v>
      </c>
      <c r="AZ2" s="17" t="n">
        <f aca="false">L2 - (INT(365.25*(F2-1+4716))+INT(30.6001*14)+1+C2/24+2-INT((F2-1)/100)+INT(INT((F2-1)/100)/4)-1524.5) +1</f>
        <v>274</v>
      </c>
      <c r="BA2" s="17" t="n">
        <v>1</v>
      </c>
      <c r="BB2" s="32" t="n">
        <f aca="false">ATAN(0.99664719*TAN($G$6*input!$E$2))</f>
        <v>-0.400219206115995</v>
      </c>
      <c r="BC2" s="32" t="n">
        <f aca="false">COS(BB2)</f>
        <v>0.920975608992155</v>
      </c>
      <c r="BD2" s="32" t="n">
        <f aca="false">0.99664719*SIN(BB2)</f>
        <v>-0.388313912533463</v>
      </c>
      <c r="BE2" s="32" t="n">
        <f aca="false">6378.14/AY2</f>
        <v>0.0171058047369999</v>
      </c>
      <c r="BF2" s="33" t="n">
        <f aca="false">N2-15*AH2</f>
        <v>-239.974662495144</v>
      </c>
      <c r="BG2" s="27" t="n">
        <f aca="false">COS($G$6*AG2)*SIN($G$6*BF2)</f>
        <v>0.787361093531686</v>
      </c>
      <c r="BH2" s="27" t="n">
        <f aca="false">COS($G$6*AG2)*COS($G$6*BF2)-BC2*BE2</f>
        <v>-0.470801538951847</v>
      </c>
      <c r="BI2" s="27" t="n">
        <f aca="false">SIN($G$6*AG2)-BD2*BE2</f>
        <v>-0.40928337913475</v>
      </c>
      <c r="BJ2" s="46" t="n">
        <f aca="false">SQRT(BG2^2+BH2^2+BI2^2)</f>
        <v>1.00454191805161</v>
      </c>
      <c r="BK2" s="35" t="n">
        <f aca="false">AY2*BJ2</f>
        <v>374557.589526501</v>
      </c>
    </row>
    <row r="3" customFormat="false" ht="15" hidden="false" customHeight="false" outlineLevel="0" collapsed="false">
      <c r="A3" s="20"/>
      <c r="B3" s="20"/>
      <c r="C3" s="20"/>
      <c r="D3" s="17" t="n">
        <v>2</v>
      </c>
      <c r="E3" s="17" t="n">
        <f aca="false">$E$2</f>
        <v>10</v>
      </c>
      <c r="F3" s="17" t="n">
        <f aca="false">$F$2</f>
        <v>2022</v>
      </c>
      <c r="G3" s="36" t="s">
        <v>74</v>
      </c>
      <c r="H3" s="39" t="n">
        <f aca="false">AM3</f>
        <v>-3.57386950128595</v>
      </c>
      <c r="I3" s="48" t="n">
        <f aca="false">H3+1.02/(TAN($G$6*(H3+10.3/(H3+5.11)))*60)</f>
        <v>-3.26311632014312</v>
      </c>
      <c r="J3" s="39" t="n">
        <f aca="false">100*(1+COS($G$6*AQ3))/2</f>
        <v>38.7136033976445</v>
      </c>
      <c r="K3" s="48" t="n">
        <f aca="false">IF(AI3&gt;180,AT3-180,AT3+180)</f>
        <v>239.330572994835</v>
      </c>
      <c r="L3" s="10" t="n">
        <f aca="false">L2+1</f>
        <v>2459854.5</v>
      </c>
      <c r="M3" s="49" t="n">
        <f aca="false">(L3-2451545)/36525</f>
        <v>0.227501711156742</v>
      </c>
      <c r="N3" s="10" t="n">
        <f aca="false">MOD(280.46061837+360.98564736629*(L3-2451545)+0.000387933*M3^2-M3^3/38710000+$G$4,360)</f>
        <v>10.6974286348559</v>
      </c>
      <c r="O3" s="24" t="n">
        <f aca="false">0.60643382+1336.85522467*M3 - 0.00000313*M3^2 - INT(0.60643382+1336.85522467*M3 - 0.00000313*M3^2)</f>
        <v>0.743284839256262</v>
      </c>
      <c r="P3" s="10" t="n">
        <f aca="false">22640*SIN(Q3)-4586*SIN(Q3-2*S3)+2370*SIN(2*S3)+769*SIN(2*Q3)-668*SIN(R3)-412*SIN(2*T3)-212*SIN(2*Q3-2*S3)-206*SIN(Q3+R3-2*S3)+192*SIN(Q3+2*S3)-165*SIN(R3-2*S3)-125*SIN(S3)-110*SIN(Q3+R3)+148*SIN(Q3-R3)-55*SIN(2*T3-2*S3)</f>
        <v>-7234.14410930247</v>
      </c>
      <c r="Q3" s="18" t="n">
        <f aca="false">2*PI()*(0.374897+1325.55241*M3 - INT(0.374897+1325.55241*M3))</f>
        <v>5.90832106546782</v>
      </c>
      <c r="R3" s="26" t="n">
        <f aca="false">2*PI()*(0.993133+99.997361*M3 - INT(0.993133+99.997361*M3))</f>
        <v>4.66654521832614</v>
      </c>
      <c r="S3" s="26" t="n">
        <f aca="false">2*PI()*(0.827361+1236.853086*M3 - INT(0.827361+1236.853086*M3))</f>
        <v>1.34180258776901</v>
      </c>
      <c r="T3" s="26" t="n">
        <f aca="false">2*PI()*(0.259086+1342.227825*M3 - INT(0.259086+1342.227825*M3))</f>
        <v>3.88434652221298</v>
      </c>
      <c r="U3" s="26" t="n">
        <f aca="false">T3+(P3+412*SIN(2*T3)+541*SIN(R3))/206264.8062</f>
        <v>3.84864448746695</v>
      </c>
      <c r="V3" s="26" t="n">
        <f aca="false">T3-2*S3</f>
        <v>1.20074134667497</v>
      </c>
      <c r="W3" s="25" t="n">
        <f aca="false">-526*SIN(V3)+44*SIN(Q3+V3)-31*SIN(-Q3+V3)-23*SIN(R3+V3)+11*SIN(-R3+V3)-25*SIN(-2*Q3+T3)+21*SIN(-Q3+T3)</f>
        <v>-470.207522570587</v>
      </c>
      <c r="X3" s="26" t="n">
        <f aca="false">2*PI()*(O3+P3/1296000-INT(O3+P3/1296000))</f>
        <v>4.63512426071121</v>
      </c>
      <c r="Y3" s="26" t="n">
        <f aca="false">(18520*SIN(U3)+W3)/206264.8062</f>
        <v>-0.0606051521982535</v>
      </c>
      <c r="Z3" s="26" t="n">
        <f aca="false">Y3*180/PI()</f>
        <v>-3.47241943770793</v>
      </c>
      <c r="AA3" s="26" t="n">
        <f aca="false">COS(Y3)*COS(X3)</f>
        <v>-0.077046154787398</v>
      </c>
      <c r="AB3" s="26" t="n">
        <f aca="false">COS(Y3)*SIN(X3)</f>
        <v>-0.995186113395933</v>
      </c>
      <c r="AC3" s="26" t="n">
        <f aca="false">SIN(Y3)</f>
        <v>-0.0605680587139308</v>
      </c>
      <c r="AD3" s="26" t="n">
        <f aca="false">COS($G$6*(23.4393-46.815*M3/3600))*AB3-SIN($G$6*(23.4393-46.815*M3/3600))*AC3</f>
        <v>-0.888996055845082</v>
      </c>
      <c r="AE3" s="26" t="n">
        <f aca="false">SIN($G$6*(23.4393-46.815*M3/3600))*AB3+COS($G$6*(23.4393-46.815*M3/3600))*AC3</f>
        <v>-0.451386644379699</v>
      </c>
      <c r="AF3" s="26" t="n">
        <f aca="false">SQRT(1-AE3*AE3)</f>
        <v>0.892328469385369</v>
      </c>
      <c r="AG3" s="10" t="n">
        <f aca="false">ATAN(AE3/AF3)/$G$6</f>
        <v>-26.8326844736407</v>
      </c>
      <c r="AH3" s="26" t="n">
        <f aca="false">IF(24*ATAN(AD3/(AA3+AF3))/PI()&gt;0,24*ATAN(AD3/(AA3+AF3))/PI(),24*ATAN(AD3/(AA3+AF3))/PI()+24)</f>
        <v>17.6697835600221</v>
      </c>
      <c r="AI3" s="10" t="n">
        <f aca="false">IF(N3-15*AH3&gt;0,N3-15*AH3,360+N3-15*AH3)</f>
        <v>105.650675234524</v>
      </c>
      <c r="AJ3" s="18" t="n">
        <f aca="false">0.950724+0.051818*COS(Q3)+0.009531*COS(2*S3-Q3)+0.007843*COS(2*S3)+0.002824*COS(2*Q3)+0.000857*COS(2*S3+Q3)+0.000533*COS(2*S3-R3)+0.000401*COS(2*S3-R3-Q3)+0.00032*COS(Q3-R3)-0.000271*COS(S3)</f>
        <v>0.983714473645463</v>
      </c>
      <c r="AK3" s="50" t="n">
        <f aca="false">ASIN(COS($G$6*$G$2)*COS($G$6*AG3)*COS($G$6*AI3)+SIN($G$6*$G$2)*SIN($G$6*AG3))/$G$6</f>
        <v>-2.59166094032815</v>
      </c>
      <c r="AL3" s="18" t="n">
        <f aca="false">ASIN((0.9983271+0.0016764*COS($G$6*2*$G$2))*COS($G$6*AK3)*SIN($G$6*AJ3))/$G$6</f>
        <v>0.982208560957798</v>
      </c>
      <c r="AM3" s="18" t="n">
        <f aca="false">AK3-AL3</f>
        <v>-3.57386950128595</v>
      </c>
      <c r="AN3" s="10" t="n">
        <f aca="false"> IF(280.4664567 + 360007.6982779*M3/10 + 0.03032028*M3^2/100 + M3^3/49931000&lt;0,MOD(280.4664567 + 360007.6982779*M3/10 + 0.03032028*M3^2/100 + M3^3/49931000+360,360),MOD(280.4664567 + 360007.6982779*M3/10 + 0.03032028*M3^2/100 + M3^3/49931000,360))</f>
        <v>190.703211175343</v>
      </c>
      <c r="AO3" s="27" t="n">
        <f aca="false"> AN3 + (1.9146 - 0.004817*M3 - 0.000014*M3^2)*SIN(R3)+ (0.019993 - 0.000101*M3)*SIN(2*R3)+ 0.00029*SIN(3*R3)</f>
        <v>188.793833880488</v>
      </c>
      <c r="AP3" s="18" t="n">
        <f aca="false">ACOS(COS(X3-$G$6*AO3)*COS(Y3))/$G$6</f>
        <v>76.8039351096358</v>
      </c>
      <c r="AQ3" s="25" t="n">
        <f aca="false">180 - AP3 -0.1468*(1-0.0549*SIN(R3))*SIN($G$6*AP3)/(1-0.0167*SIN($G$6*AO3))</f>
        <v>103.045686867251</v>
      </c>
      <c r="AR3" s="25" t="n">
        <f aca="false">SIN($G$6*AI3)</f>
        <v>0.962924344058703</v>
      </c>
      <c r="AS3" s="25" t="n">
        <f aca="false">COS($G$6*AI3)*SIN($G$6*$G$2) - TAN($G$6*AG3)*COS($G$6*$G$2)</f>
        <v>0.571047896023331</v>
      </c>
      <c r="AT3" s="25" t="n">
        <f aca="false">IF(OR(AND(AR3*AS3&gt;0), AND(AR3&lt;0,AS3&gt;0)), MOD(ATAN2(AS3,AR3)/$G$6+360,360),  ATAN2(AS3,AR3)/$G$6)</f>
        <v>59.3305729948348</v>
      </c>
      <c r="AU3" s="18" t="n">
        <f aca="false">IF((X3-X2)/$G$6&lt;0,(X3-X2)/$G$6+360,(X3-X2)/$G$6)</f>
        <v>13.9935812625279</v>
      </c>
      <c r="AV3" s="29" t="n">
        <f aca="false">(1+SIN($G$6*H3)*SIN($G$6*AJ3))*120*ASIN(0.272481*SIN($G$6*AJ3))/$G$6</f>
        <v>32.1293362745784</v>
      </c>
      <c r="AW3" s="10" t="n">
        <f aca="false">COS(X3)</f>
        <v>-0.0771878663213257</v>
      </c>
      <c r="AX3" s="10" t="n">
        <f aca="false">SIN(X3)</f>
        <v>-0.997016566207784</v>
      </c>
      <c r="AY3" s="30" t="n">
        <f aca="false"> 385000.56 + (-20905355*COS(Q3) - 3699111*COS(2*S3-Q3) - 2955968*COS(2*S3) - 569925*COS(2*Q3) + (1-0.002516*M3)*48888*COS(R3) - 3149*COS(2*T3)  +246158*COS(2*S3-2*Q3) -(1-0.002516*M3)*152138*COS(2*S3-R3-Q3) -170733*COS(2*S3+Q3) -(1-0.002516*M3)*204586*COS(2*S3-R3) -(1-0.002516*M3)*129620*COS(R3-Q3)  + 108743*COS(S3) +(1-0.002516*M3)*104755*COS(R3+Q3) +10321*COS(2*S3-2*T3) +79661*COS(Q3-2*T3) -34782*COS(4*S3-Q3) -23210*COS(3*Q3)  -21636*COS(4*S3-2*Q3) +(1-0.002516*M3)*24208*COS(2*S3+R3-Q3) +(1-0.002516*M3)*30824*COS(2*S3+R3) -8379*COS(S3-Q3) -(1-0.002516*M3)*16675*COS(S3+R3)  -(1-0.002516*M3)*12831*COS(2*S3-R3+Q3) -10445*COS(2*S3+2*Q3) -11650*COS(4*S3) +14403*COS(2*S3-3*Q3) -(1-0.002516*M3)*7003*COS(R3-2*Q3)  + (1-0.002516*M3)*10056*COS(2*S3-R3-2*Q3) +6322*COS(S3+Q3) -(1-0.002516*M3)*(1-0.002516*M3)*9884*COS(2*S3-2*R3) +(1-0.002516*M3)*5751*COS(R3+2*Q3) -(1-0.002516*M3)*(1-0.002516*M3)*4950*COS(2*S3-2*R3-Q3)  +4130*COS(2*S3+Q3-2*T3) -(1-0.002516*M3)*3958*COS(4*S3-R3-Q3) +3258*COS(3*S3-Q3) +(1-0.002516*M3)*2616*COS(2*S3+R3+Q3) -(1-0.002516*M3)*1897*COS(4*S3-R3-2*Q3)  -(1-0.002516*M3)*(1-0.002516*M3)*2117*COS(2*R3-Q3) +(1-0.002516*M3)*(1-0.002516*M3)*2354*COS(2*S3+2*R3-Q3) -1423*COS(4*S3+Q3) -1117*COS(4*Q3) -(1-0.002516*M3)*1571*COS(4*S3-R3)  -1739*COS(S3-2*Q3) -4421*COS(2*Q3-2*T3) +(1-0.002516*M3)*(1-0.002516*M3)*1165*COS(2*R3+Q3) +8752*COS(2*S3-Q3-2*T3))/1000</f>
        <v>371280.156240906</v>
      </c>
      <c r="AZ3" s="17" t="n">
        <f aca="false">AZ2+1</f>
        <v>275</v>
      </c>
      <c r="BA3" s="17" t="n">
        <v>2</v>
      </c>
      <c r="BB3" s="32" t="n">
        <f aca="false">ATAN(0.99664719*TAN($G$6*input!$E$2))</f>
        <v>-0.400219206115995</v>
      </c>
      <c r="BC3" s="32" t="n">
        <f aca="false">COS(BB3)</f>
        <v>0.920975608992155</v>
      </c>
      <c r="BD3" s="32" t="n">
        <f aca="false">0.99664719*SIN(BB3)</f>
        <v>-0.388313912533463</v>
      </c>
      <c r="BE3" s="32" t="n">
        <f aca="false">6378.14/AY3</f>
        <v>0.017178779670254</v>
      </c>
      <c r="BF3" s="33" t="n">
        <f aca="false">N3-15*AH3</f>
        <v>-254.349324765476</v>
      </c>
      <c r="BG3" s="27" t="n">
        <f aca="false">COS($G$6*AG3)*SIN($G$6*BF3)</f>
        <v>0.859244806067813</v>
      </c>
      <c r="BH3" s="27" t="n">
        <f aca="false">COS($G$6*AG3)*COS($G$6*BF3)-BC3*BE3</f>
        <v>-0.256546101843928</v>
      </c>
      <c r="BI3" s="27" t="n">
        <f aca="false">SIN($G$6*AG3)-BD3*BE3</f>
        <v>-0.444715885233392</v>
      </c>
      <c r="BJ3" s="46" t="n">
        <f aca="false">SQRT(BG3^2+BH3^2+BI3^2)</f>
        <v>1.00094443287565</v>
      </c>
      <c r="BK3" s="35" t="n">
        <f aca="false">AY3*BJ3</f>
        <v>371630.805426535</v>
      </c>
      <c r="BL3" s="51" t="str">
        <f aca="false">IF(OR(AND(BK3&gt;BK2,BK3&gt;BK4),AND(BK3&lt;BK2,BK3&lt;BK4)),BK3,"")</f>
        <v/>
      </c>
    </row>
    <row r="4" customFormat="false" ht="15" hidden="false" customHeight="false" outlineLevel="0" collapsed="false">
      <c r="A4" s="20"/>
      <c r="B4" s="20"/>
      <c r="C4" s="20"/>
      <c r="D4" s="17" t="n">
        <v>3</v>
      </c>
      <c r="E4" s="17" t="n">
        <f aca="false">$E$2</f>
        <v>10</v>
      </c>
      <c r="F4" s="17" t="n">
        <f aca="false">$F$2</f>
        <v>2022</v>
      </c>
      <c r="G4" s="47" t="n">
        <f aca="false">input!$F$2</f>
        <v>0</v>
      </c>
      <c r="H4" s="39" t="n">
        <f aca="false">AM4</f>
        <v>8.71266602333651</v>
      </c>
      <c r="I4" s="48" t="n">
        <f aca="false">H4+1.02/(TAN($G$6*(H4+10.3/(H4+5.11)))*60)</f>
        <v>8.81471548400579</v>
      </c>
      <c r="J4" s="39" t="n">
        <f aca="false">100*(1+COS($G$6*AQ4))/2</f>
        <v>50.0446533889929</v>
      </c>
      <c r="K4" s="48" t="n">
        <f aca="false">IF(AI4&gt;180,AT4-180,AT4+180)</f>
        <v>244.249552253653</v>
      </c>
      <c r="L4" s="10" t="n">
        <f aca="false">L3+1</f>
        <v>2459855.5</v>
      </c>
      <c r="M4" s="49" t="n">
        <f aca="false">(L4-2451545)/36525</f>
        <v>0.227529089664613</v>
      </c>
      <c r="N4" s="10" t="n">
        <f aca="false">MOD(280.46061837+360.98564736629*(L4-2451545)+0.000387933*M4^2-M4^3/38710000+$G$4,360)</f>
        <v>11.6830760058947</v>
      </c>
      <c r="O4" s="24" t="n">
        <f aca="false">0.60643382+1336.85522467*M4 - 0.00000313*M4^2 - INT(0.60643382+1336.85522467*M4 - 0.00000313*M4^2)</f>
        <v>0.779885940508677</v>
      </c>
      <c r="P4" s="10" t="n">
        <f aca="false">22640*SIN(Q4)-4586*SIN(Q4-2*S4)+2370*SIN(2*S4)+769*SIN(2*Q4)-668*SIN(R4)-412*SIN(2*T4)-212*SIN(2*Q4-2*S4)-206*SIN(Q4+R4-2*S4)+192*SIN(Q4+2*S4)-165*SIN(R4-2*S4)-125*SIN(S4)-110*SIN(Q4+R4)+148*SIN(Q4-R4)-55*SIN(2*T4-2*S4)</f>
        <v>-3905.66918598162</v>
      </c>
      <c r="Q4" s="18" t="n">
        <f aca="false">2*PI()*(0.374897+1325.55241*M4 - INT(0.374897+1325.55241*M4))</f>
        <v>6.13634820924328</v>
      </c>
      <c r="R4" s="26" t="n">
        <f aca="false">2*PI()*(0.993133+99.997361*M4 - INT(0.993133+99.997361*M4))</f>
        <v>4.68374718819312</v>
      </c>
      <c r="S4" s="26" t="n">
        <f aca="false">2*PI()*(0.827361+1236.853086*M4 - INT(0.827361+1236.853086*M4))</f>
        <v>1.55457129788803</v>
      </c>
      <c r="T4" s="26" t="n">
        <f aca="false">2*PI()*(0.259086+1342.227825*M4 - INT(0.259086+1342.227825*M4))</f>
        <v>4.11524224155398</v>
      </c>
      <c r="U4" s="26" t="n">
        <f aca="false">T4+(P4+412*SIN(2*T4)+541*SIN(R4))/206264.8062</f>
        <v>4.09554278118695</v>
      </c>
      <c r="V4" s="26" t="n">
        <f aca="false">T4-2*S4</f>
        <v>1.00609964577792</v>
      </c>
      <c r="W4" s="25" t="n">
        <f aca="false">-526*SIN(V4)+44*SIN(Q4+V4)-31*SIN(-Q4+V4)-23*SIN(R4+V4)+11*SIN(-R4+V4)-25*SIN(-2*Q4+T4)+21*SIN(-Q4+T4)</f>
        <v>-415.918541953731</v>
      </c>
      <c r="X4" s="26" t="n">
        <f aca="false">2*PI()*(O4+P4/1296000-INT(O4+P4/1296000))</f>
        <v>4.88123266412754</v>
      </c>
      <c r="Y4" s="26" t="n">
        <f aca="false">(18520*SIN(U4)+W4)/206264.8062</f>
        <v>-0.0752567059608694</v>
      </c>
      <c r="Z4" s="26" t="n">
        <f aca="false">Y4*180/PI()</f>
        <v>-4.31189163161484</v>
      </c>
      <c r="AA4" s="26" t="n">
        <f aca="false">COS(Y4)*COS(X4)</f>
        <v>0.167566952442815</v>
      </c>
      <c r="AB4" s="26" t="n">
        <f aca="false">COS(Y4)*SIN(X4)</f>
        <v>-0.982989536364127</v>
      </c>
      <c r="AC4" s="26" t="n">
        <f aca="false">SIN(Y4)</f>
        <v>-0.0751856891147955</v>
      </c>
      <c r="AD4" s="26" t="n">
        <f aca="false">COS($G$6*(23.4393-46.815*M4/3600))*AB4-SIN($G$6*(23.4393-46.815*M4/3600))*AC4</f>
        <v>-0.871991799295597</v>
      </c>
      <c r="AE4" s="26" t="n">
        <f aca="false">SIN($G$6*(23.4393-46.815*M4/3600))*AB4+COS($G$6*(23.4393-46.815*M4/3600))*AC4</f>
        <v>-0.459947408309097</v>
      </c>
      <c r="AF4" s="26" t="n">
        <f aca="false">SQRT(1-AE4*AE4)</f>
        <v>0.88794615917281</v>
      </c>
      <c r="AG4" s="10" t="n">
        <f aca="false">ATAN(AE4/AF4)/$G$6</f>
        <v>-27.3837139093356</v>
      </c>
      <c r="AH4" s="26" t="n">
        <f aca="false">IF(24*ATAN(AD4/(AA4+AF4))/PI()&gt;0,24*ATAN(AD4/(AA4+AF4))/PI(),24*ATAN(AD4/(AA4+AF4))/PI()+24)</f>
        <v>18.7251789222217</v>
      </c>
      <c r="AI4" s="10" t="n">
        <f aca="false">IF(N4-15*AH4&gt;0,N4-15*AH4,360+N4-15*AH4)</f>
        <v>90.8053921725689</v>
      </c>
      <c r="AJ4" s="18" t="n">
        <f aca="false">0.950724+0.051818*COS(Q4)+0.009531*COS(2*S4-Q4)+0.007843*COS(2*S4)+0.002824*COS(2*Q4)+0.000857*COS(2*S4+Q4)+0.000533*COS(2*S4-R4)+0.000401*COS(2*S4-R4-Q4)+0.00032*COS(Q4-R4)-0.000271*COS(S4)</f>
        <v>0.986625089660476</v>
      </c>
      <c r="AK4" s="50" t="n">
        <f aca="false">ASIN(COS($G$6*$G$2)*COS($G$6*AG4)*COS($G$6*AI4)+SIN($G$6*$G$2)*SIN($G$6*AG4))/$G$6</f>
        <v>9.68473421983652</v>
      </c>
      <c r="AL4" s="18" t="n">
        <f aca="false">ASIN((0.9983271+0.0016764*COS($G$6*2*$G$2))*COS($G$6*AK4)*SIN($G$6*AJ4))/$G$6</f>
        <v>0.972068196500012</v>
      </c>
      <c r="AM4" s="18" t="n">
        <f aca="false">AK4-AL4</f>
        <v>8.71266602333651</v>
      </c>
      <c r="AN4" s="10" t="n">
        <f aca="false"> IF(280.4664567 + 360007.6982779*M4/10 + 0.03032028*M4^2/100 + M4^3/49931000&lt;0,MOD(280.4664567 + 360007.6982779*M4/10 + 0.03032028*M4^2/100 + M4^3/49931000+360,360),MOD(280.4664567 + 360007.6982779*M4/10 + 0.03032028*M4^2/100 + M4^3/49931000,360))</f>
        <v>191.688858539224</v>
      </c>
      <c r="AO4" s="27" t="n">
        <f aca="false"> AN4 + (1.9146 - 0.004817*M4 - 0.000014*M4^2)*SIN(R4)+ (0.019993 - 0.000101*M4)*SIN(2*R4)+ 0.00029*SIN(3*R4)</f>
        <v>189.777572350204</v>
      </c>
      <c r="AP4" s="18" t="n">
        <f aca="false">ACOS(COS(X4-$G$6*AO4)*COS(Y4))/$G$6</f>
        <v>89.8967511960815</v>
      </c>
      <c r="AQ4" s="25" t="n">
        <f aca="false">180 - AP4 -0.1468*(1-0.0549*SIN(R4))*SIN($G$6*AP4)/(1-0.0167*SIN($G$6*AO4))</f>
        <v>89.9488309785932</v>
      </c>
      <c r="AR4" s="25" t="n">
        <f aca="false">SIN($G$6*AI4)</f>
        <v>0.999901205584222</v>
      </c>
      <c r="AS4" s="25" t="n">
        <f aca="false">COS($G$6*AI4)*SIN($G$6*$G$2) - TAN($G$6*AG4)*COS($G$6*$G$2)</f>
        <v>0.482304719894075</v>
      </c>
      <c r="AT4" s="25" t="n">
        <f aca="false">IF(OR(AND(AR4*AS4&gt;0), AND(AR4&lt;0,AS4&gt;0)), MOD(ATAN2(AS4,AR4)/$G$6+360,360),  ATAN2(AS4,AR4)/$G$6)</f>
        <v>64.2495522536527</v>
      </c>
      <c r="AU4" s="18" t="n">
        <f aca="false">IF((X4-X3)/$G$6&lt;0,(X4-X3)/$G$6+360,(X4-X3)/$G$6)</f>
        <v>14.1009728184587</v>
      </c>
      <c r="AV4" s="29" t="n">
        <f aca="false">(1+SIN($G$6*H4)*SIN($G$6*AJ4))*120*ASIN(0.272481*SIN($G$6*AJ4))/$G$6</f>
        <v>32.3430566652093</v>
      </c>
      <c r="AW4" s="10" t="n">
        <f aca="false">COS(X4)</f>
        <v>0.1680425885281</v>
      </c>
      <c r="AX4" s="10" t="n">
        <f aca="false">SIN(X4)</f>
        <v>-0.985779736270114</v>
      </c>
      <c r="AY4" s="30" t="n">
        <f aca="false"> 385000.56 + (-20905355*COS(Q4) - 3699111*COS(2*S4-Q4) - 2955968*COS(2*S4) - 569925*COS(2*Q4) + (1-0.002516*M4)*48888*COS(R4) - 3149*COS(2*T4)  +246158*COS(2*S4-2*Q4) -(1-0.002516*M4)*152138*COS(2*S4-R4-Q4) -170733*COS(2*S4+Q4) -(1-0.002516*M4)*204586*COS(2*S4-R4) -(1-0.002516*M4)*129620*COS(R4-Q4)  + 108743*COS(S4) +(1-0.002516*M4)*104755*COS(R4+Q4) +10321*COS(2*S4-2*T4) +79661*COS(Q4-2*T4) -34782*COS(4*S4-Q4) -23210*COS(3*Q4)  -21636*COS(4*S4-2*Q4) +(1-0.002516*M4)*24208*COS(2*S4+R4-Q4) +(1-0.002516*M4)*30824*COS(2*S4+R4) -8379*COS(S4-Q4) -(1-0.002516*M4)*16675*COS(S4+R4)  -(1-0.002516*M4)*12831*COS(2*S4-R4+Q4) -10445*COS(2*S4+2*Q4) -11650*COS(4*S4) +14403*COS(2*S4-3*Q4) -(1-0.002516*M4)*7003*COS(R4-2*Q4)  + (1-0.002516*M4)*10056*COS(2*S4-R4-2*Q4) +6322*COS(S4+Q4) -(1-0.002516*M4)*(1-0.002516*M4)*9884*COS(2*S4-2*R4) +(1-0.002516*M4)*5751*COS(R4+2*Q4) -(1-0.002516*M4)*(1-0.002516*M4)*4950*COS(2*S4-2*R4-Q4)  +4130*COS(2*S4+Q4-2*T4) -(1-0.002516*M4)*3958*COS(4*S4-R4-Q4) +3258*COS(3*S4-Q4) +(1-0.002516*M4)*2616*COS(2*S4+R4+Q4) -(1-0.002516*M4)*1897*COS(4*S4-R4-2*Q4)  -(1-0.002516*M4)*(1-0.002516*M4)*2117*COS(2*R4-Q4) +(1-0.002516*M4)*(1-0.002516*M4)*2354*COS(2*S4+2*R4-Q4) -1423*COS(4*S4+Q4) -1117*COS(4*Q4) -(1-0.002516*M4)*1571*COS(4*S4-R4)  -1739*COS(S4-2*Q4) -4421*COS(2*Q4-2*T4) +(1-0.002516*M4)*(1-0.002516*M4)*1165*COS(2*R4+Q4) +8752*COS(2*S4-Q4-2*T4))/1000</f>
        <v>370135.931121461</v>
      </c>
      <c r="AZ4" s="17" t="n">
        <f aca="false">AZ3+1</f>
        <v>276</v>
      </c>
      <c r="BA4" s="17" t="n">
        <v>3</v>
      </c>
      <c r="BB4" s="32" t="n">
        <f aca="false">ATAN(0.99664719*TAN($G$6*input!$E$2))</f>
        <v>-0.400219206115995</v>
      </c>
      <c r="BC4" s="32" t="n">
        <f aca="false">COS(BB4)</f>
        <v>0.920975608992155</v>
      </c>
      <c r="BD4" s="32" t="n">
        <f aca="false">0.99664719*SIN(BB4)</f>
        <v>-0.388313912533463</v>
      </c>
      <c r="BE4" s="32" t="n">
        <f aca="false">6378.14/AY4</f>
        <v>0.01723188554182</v>
      </c>
      <c r="BF4" s="33" t="n">
        <f aca="false">N4-15*AH4</f>
        <v>-269.194607827431</v>
      </c>
      <c r="BG4" s="27" t="n">
        <f aca="false">COS($G$6*AG4)*SIN($G$6*BF4)</f>
        <v>0.887858435050772</v>
      </c>
      <c r="BH4" s="27" t="n">
        <f aca="false">COS($G$6*AG4)*COS($G$6*BF4)-BC4*BE4</f>
        <v>-0.0283513681337533</v>
      </c>
      <c r="BI4" s="27" t="n">
        <f aca="false">SIN($G$6*AG4)-BD4*BE4</f>
        <v>-0.453256027414024</v>
      </c>
      <c r="BJ4" s="46" t="n">
        <f aca="false">SQRT(BG4^2+BH4^2+BI4^2)</f>
        <v>0.997264973391227</v>
      </c>
      <c r="BK4" s="35" t="n">
        <f aca="false">AY4*BJ4</f>
        <v>369123.599500981</v>
      </c>
      <c r="BL4" s="51" t="str">
        <f aca="false">IF(OR(AND(BK4&gt;BK3,BK4&gt;BK5),AND(BK4&lt;BK3,BK4&lt;BK5)),BK4,"")</f>
        <v/>
      </c>
    </row>
    <row r="5" customFormat="false" ht="15" hidden="false" customHeight="false" outlineLevel="0" collapsed="false">
      <c r="A5" s="20"/>
      <c r="B5" s="20"/>
      <c r="C5" s="20"/>
      <c r="D5" s="17" t="n">
        <v>4</v>
      </c>
      <c r="E5" s="17" t="n">
        <f aca="false">$E$2</f>
        <v>10</v>
      </c>
      <c r="F5" s="17" t="n">
        <f aca="false">$F$2</f>
        <v>2022</v>
      </c>
      <c r="H5" s="39" t="n">
        <f aca="false">AM5</f>
        <v>20.9379474254521</v>
      </c>
      <c r="I5" s="48" t="n">
        <f aca="false">H5+1.02/(TAN($G$6*(H5+10.3/(H5+5.11)))*60)</f>
        <v>20.9814752422557</v>
      </c>
      <c r="J5" s="39" t="n">
        <f aca="false">100*(1+COS($G$6*AQ5))/2</f>
        <v>61.4198260436843</v>
      </c>
      <c r="K5" s="48" t="n">
        <f aca="false">IF(AI5&gt;180,AT5-180,AT5+180)</f>
        <v>249.784727109933</v>
      </c>
      <c r="L5" s="10" t="n">
        <f aca="false">L4+1</f>
        <v>2459856.5</v>
      </c>
      <c r="M5" s="49" t="n">
        <f aca="false">(L5-2451545)/36525</f>
        <v>0.227556468172485</v>
      </c>
      <c r="N5" s="10" t="n">
        <f aca="false">MOD(280.46061837+360.98564736629*(L5-2451545)+0.000387933*M5^2-M5^3/38710000+$G$4,360)</f>
        <v>12.6687233764678</v>
      </c>
      <c r="O5" s="24" t="n">
        <f aca="false">0.60643382+1336.85522467*M5 - 0.00000313*M5^2 - INT(0.60643382+1336.85522467*M5 - 0.00000313*M5^2)</f>
        <v>0.81648704176115</v>
      </c>
      <c r="P5" s="10" t="n">
        <f aca="false">22640*SIN(Q5)-4586*SIN(Q5-2*S5)+2370*SIN(2*S5)+769*SIN(2*Q5)-668*SIN(R5)-412*SIN(2*T5)-212*SIN(2*Q5-2*S5)-206*SIN(Q5+R5-2*S5)+192*SIN(Q5+2*S5)-165*SIN(R5-2*S5)-125*SIN(S5)-110*SIN(Q5+R5)+148*SIN(Q5-R5)-55*SIN(2*T5-2*S5)</f>
        <v>-261.235018493513</v>
      </c>
      <c r="Q5" s="18" t="n">
        <f aca="false">2*PI()*(0.374897+1325.55241*M5 - INT(0.374897+1325.55241*M5))</f>
        <v>0.0811900458395127</v>
      </c>
      <c r="R5" s="26" t="n">
        <f aca="false">2*PI()*(0.993133+99.997361*M5 - INT(0.993133+99.997361*M5))</f>
        <v>4.70094915806013</v>
      </c>
      <c r="S5" s="26" t="n">
        <f aca="false">2*PI()*(0.827361+1236.853086*M5 - INT(0.827361+1236.853086*M5))</f>
        <v>1.7673400080067</v>
      </c>
      <c r="T5" s="26" t="n">
        <f aca="false">2*PI()*(0.259086+1342.227825*M5 - INT(0.259086+1342.227825*M5))</f>
        <v>4.34613796089463</v>
      </c>
      <c r="U5" s="26" t="n">
        <f aca="false">T5+(P5+412*SIN(2*T5)+541*SIN(R5))/206264.8062</f>
        <v>4.3435845343362</v>
      </c>
      <c r="V5" s="26" t="n">
        <f aca="false">T5-2*S5</f>
        <v>0.811457944881235</v>
      </c>
      <c r="W5" s="25" t="n">
        <f aca="false">-526*SIN(V5)+44*SIN(Q5+V5)-31*SIN(-Q5+V5)-23*SIN(R5+V5)+11*SIN(-R5+V5)-25*SIN(-2*Q5+T5)+21*SIN(-Q5+T5)</f>
        <v>-341.758378985885</v>
      </c>
      <c r="X5" s="26" t="n">
        <f aca="false">2*PI()*(O5+P5/1296000-INT(O5+P5/1296000))</f>
        <v>5.12887288118668</v>
      </c>
      <c r="Y5" s="26" t="n">
        <f aca="false">(18520*SIN(U5)+W5)/206264.8062</f>
        <v>-0.0854069851654563</v>
      </c>
      <c r="Z5" s="26" t="n">
        <f aca="false">Y5*180/PI()</f>
        <v>-4.89345979091708</v>
      </c>
      <c r="AA5" s="26" t="n">
        <f aca="false">COS(Y5)*COS(X5)</f>
        <v>0.403072868586353</v>
      </c>
      <c r="AB5" s="26" t="n">
        <f aca="false">COS(Y5)*SIN(X5)</f>
        <v>-0.911183641269093</v>
      </c>
      <c r="AC5" s="26" t="n">
        <f aca="false">SIN(Y5)</f>
        <v>-0.0853031915766621</v>
      </c>
      <c r="AD5" s="26" t="n">
        <f aca="false">COS($G$6*(23.4393-46.815*M5/3600))*AB5-SIN($G$6*(23.4393-46.815*M5/3600))*AC5</f>
        <v>-0.802085677413207</v>
      </c>
      <c r="AE5" s="26" t="n">
        <f aca="false">SIN($G$6*(23.4393-46.815*M5/3600))*AB5+COS($G$6*(23.4393-46.815*M5/3600))*AC5</f>
        <v>-0.440670884786101</v>
      </c>
      <c r="AF5" s="26" t="n">
        <f aca="false">SQRT(1-AE5*AE5)</f>
        <v>0.897668742522449</v>
      </c>
      <c r="AG5" s="10" t="n">
        <f aca="false">ATAN(AE5/AF5)/$G$6</f>
        <v>-26.1466940590779</v>
      </c>
      <c r="AH5" s="26" t="n">
        <f aca="false">IF(24*ATAN(AD5/(AA5+AF5))/PI()&gt;0,24*ATAN(AD5/(AA5+AF5))/PI(),24*ATAN(AD5/(AA5+AF5))/PI()+24)</f>
        <v>19.778729559221</v>
      </c>
      <c r="AI5" s="10" t="n">
        <f aca="false">IF(N5-15*AH5&gt;0,N5-15*AH5,360+N5-15*AH5)</f>
        <v>75.9877799881531</v>
      </c>
      <c r="AJ5" s="18" t="n">
        <f aca="false">0.950724+0.051818*COS(Q5)+0.009531*COS(2*S5-Q5)+0.007843*COS(2*S5)+0.002824*COS(2*Q5)+0.000857*COS(2*S5+Q5)+0.000533*COS(2*S5-R5)+0.000401*COS(2*S5-R5-Q5)+0.00032*COS(Q5-R5)-0.000271*COS(S5)</f>
        <v>0.988440283774495</v>
      </c>
      <c r="AK5" s="50" t="n">
        <f aca="false">ASIN(COS($G$6*$G$2)*COS($G$6*AG5)*COS($G$6*AI5)+SIN($G$6*$G$2)*SIN($G$6*AG5))/$G$6</f>
        <v>21.8548755032033</v>
      </c>
      <c r="AL5" s="18" t="n">
        <f aca="false">ASIN((0.9983271+0.0016764*COS($G$6*2*$G$2))*COS($G$6*AK5)*SIN($G$6*AJ5))/$G$6</f>
        <v>0.91692807775121</v>
      </c>
      <c r="AM5" s="18" t="n">
        <f aca="false">AK5-AL5</f>
        <v>20.9379474254521</v>
      </c>
      <c r="AN5" s="10" t="n">
        <f aca="false"> IF(280.4664567 + 360007.6982779*M5/10 + 0.03032028*M5^2/100 + M5^3/49931000&lt;0,MOD(280.4664567 + 360007.6982779*M5/10 + 0.03032028*M5^2/100 + M5^3/49931000+360,360),MOD(280.4664567 + 360007.6982779*M5/10 + 0.03032028*M5^2/100 + M5^3/49931000,360))</f>
        <v>192.674505903105</v>
      </c>
      <c r="AO5" s="27" t="n">
        <f aca="false"> AN5 + (1.9146 - 0.004817*M5 - 0.000014*M5^2)*SIN(R5)+ (0.019993 - 0.000101*M5)*SIN(2*R5)+ 0.00029*SIN(3*R5)</f>
        <v>190.761874672085</v>
      </c>
      <c r="AP5" s="18" t="n">
        <f aca="false">ACOS(COS(X5-$G$6*AO5)*COS(Y5))/$G$6</f>
        <v>103.052297646633</v>
      </c>
      <c r="AQ5" s="25" t="n">
        <f aca="false">180 - AP5 -0.1468*(1-0.0549*SIN(R5))*SIN($G$6*AP5)/(1-0.0167*SIN($G$6*AO5))</f>
        <v>76.7973134068234</v>
      </c>
      <c r="AR5" s="25" t="n">
        <f aca="false">SIN($G$6*AI5)</f>
        <v>0.970244107241177</v>
      </c>
      <c r="AS5" s="25" t="n">
        <f aca="false">COS($G$6*AI5)*SIN($G$6*$G$2) - TAN($G$6*AG5)*COS($G$6*$G$2)</f>
        <v>0.357273993809819</v>
      </c>
      <c r="AT5" s="25" t="n">
        <f aca="false">IF(OR(AND(AR5*AS5&gt;0), AND(AR5&lt;0,AS5&gt;0)), MOD(ATAN2(AS5,AR5)/$G$6+360,360),  ATAN2(AS5,AR5)/$G$6)</f>
        <v>69.7847271099325</v>
      </c>
      <c r="AU5" s="18" t="n">
        <f aca="false">IF((X5-X4)/$G$6&lt;0,(X5-X4)/$G$6+360,(X5-X4)/$G$6)</f>
        <v>14.1887392751923</v>
      </c>
      <c r="AV5" s="29" t="n">
        <f aca="false">(1+SIN($G$6*H5)*SIN($G$6*AJ5))*120*ASIN(0.272481*SIN($G$6*AJ5))/$G$6</f>
        <v>32.5174901512391</v>
      </c>
      <c r="AW5" s="10" t="n">
        <f aca="false">COS(X5)</f>
        <v>0.404547427824874</v>
      </c>
      <c r="AX5" s="10" t="n">
        <f aca="false">SIN(X5)</f>
        <v>-0.914517019327841</v>
      </c>
      <c r="AY5" s="30" t="n">
        <f aca="false"> 385000.56 + (-20905355*COS(Q5) - 3699111*COS(2*S5-Q5) - 2955968*COS(2*S5) - 569925*COS(2*Q5) + (1-0.002516*M5)*48888*COS(R5) - 3149*COS(2*T5)  +246158*COS(2*S5-2*Q5) -(1-0.002516*M5)*152138*COS(2*S5-R5-Q5) -170733*COS(2*S5+Q5) -(1-0.002516*M5)*204586*COS(2*S5-R5) -(1-0.002516*M5)*129620*COS(R5-Q5)  + 108743*COS(S5) +(1-0.002516*M5)*104755*COS(R5+Q5) +10321*COS(2*S5-2*T5) +79661*COS(Q5-2*T5) -34782*COS(4*S5-Q5) -23210*COS(3*Q5)  -21636*COS(4*S5-2*Q5) +(1-0.002516*M5)*24208*COS(2*S5+R5-Q5) +(1-0.002516*M5)*30824*COS(2*S5+R5) -8379*COS(S5-Q5) -(1-0.002516*M5)*16675*COS(S5+R5)  -(1-0.002516*M5)*12831*COS(2*S5-R5+Q5) -10445*COS(2*S5+2*Q5) -11650*COS(4*S5) +14403*COS(2*S5-3*Q5) -(1-0.002516*M5)*7003*COS(R5-2*Q5)  + (1-0.002516*M5)*10056*COS(2*S5-R5-2*Q5) +6322*COS(S5+Q5) -(1-0.002516*M5)*(1-0.002516*M5)*9884*COS(2*S5-2*R5) +(1-0.002516*M5)*5751*COS(R5+2*Q5) -(1-0.002516*M5)*(1-0.002516*M5)*4950*COS(2*S5-2*R5-Q5)  +4130*COS(2*S5+Q5-2*T5) -(1-0.002516*M5)*3958*COS(4*S5-R5-Q5) +3258*COS(3*S5-Q5) +(1-0.002516*M5)*2616*COS(2*S5+R5+Q5) -(1-0.002516*M5)*1897*COS(4*S5-R5-2*Q5)  -(1-0.002516*M5)*(1-0.002516*M5)*2117*COS(2*R5-Q5) +(1-0.002516*M5)*(1-0.002516*M5)*2354*COS(2*S5+2*R5-Q5) -1423*COS(4*S5+Q5) -1117*COS(4*Q5) -(1-0.002516*M5)*1571*COS(4*S5-R5)  -1739*COS(S5-2*Q5) -4421*COS(2*Q5-2*T5) +(1-0.002516*M5)*(1-0.002516*M5)*1165*COS(2*R5+Q5) +8752*COS(2*S5-Q5-2*T5))/1000</f>
        <v>369469.835110635</v>
      </c>
      <c r="AZ5" s="17" t="n">
        <f aca="false">AZ4+1</f>
        <v>277</v>
      </c>
      <c r="BA5" s="17" t="n">
        <v>4</v>
      </c>
      <c r="BB5" s="32" t="n">
        <f aca="false">ATAN(0.99664719*TAN($G$6*input!$E$2))</f>
        <v>-0.400219206115995</v>
      </c>
      <c r="BC5" s="32" t="n">
        <f aca="false">COS(BB5)</f>
        <v>0.920975608992155</v>
      </c>
      <c r="BD5" s="32" t="n">
        <f aca="false">0.99664719*SIN(BB5)</f>
        <v>-0.388313912533463</v>
      </c>
      <c r="BE5" s="32" t="n">
        <f aca="false">6378.14/AY5</f>
        <v>0.0172629519216098</v>
      </c>
      <c r="BF5" s="33" t="n">
        <f aca="false">N5-15*AH5</f>
        <v>-284.012220011847</v>
      </c>
      <c r="BG5" s="27" t="n">
        <f aca="false">COS($G$6*AG5)*SIN($G$6*BF5)</f>
        <v>0.870957807687004</v>
      </c>
      <c r="BH5" s="27" t="n">
        <f aca="false">COS($G$6*AG5)*COS($G$6*BF5)-BC5*BE5</f>
        <v>0.201452728489314</v>
      </c>
      <c r="BI5" s="27" t="n">
        <f aca="false">SIN($G$6*AG5)-BD5*BE5</f>
        <v>-0.433967440383543</v>
      </c>
      <c r="BJ5" s="46" t="n">
        <f aca="false">SQRT(BG5^2+BH5^2+BI5^2)</f>
        <v>0.993719499607301</v>
      </c>
      <c r="BK5" s="35" t="n">
        <f aca="false">AY5*BJ5</f>
        <v>367149.379666133</v>
      </c>
      <c r="BL5" s="51" t="str">
        <f aca="false">IF(OR(AND(BK5&gt;BK4,BK5&gt;BK6),AND(BK5&lt;BK4,BK5&lt;BK6)),BK5,"")</f>
        <v/>
      </c>
    </row>
    <row r="6" customFormat="false" ht="15" hidden="false" customHeight="false" outlineLevel="0" collapsed="false">
      <c r="A6" s="20"/>
      <c r="B6" s="20"/>
      <c r="C6" s="20"/>
      <c r="D6" s="17" t="n">
        <v>5</v>
      </c>
      <c r="E6" s="17" t="n">
        <f aca="false">$E$2</f>
        <v>10</v>
      </c>
      <c r="F6" s="17" t="n">
        <f aca="false">$F$2</f>
        <v>2022</v>
      </c>
      <c r="G6" s="52" t="n">
        <f aca="false">PI()/180</f>
        <v>0.0174532925199433</v>
      </c>
      <c r="H6" s="39" t="n">
        <f aca="false">AM6</f>
        <v>32.9239089831394</v>
      </c>
      <c r="I6" s="48" t="n">
        <f aca="false">H6+1.02/(TAN($G$6*(H6+10.3/(H6+5.11)))*60)</f>
        <v>32.9498929320185</v>
      </c>
      <c r="J6" s="39" t="n">
        <f aca="false">100*(1+COS($G$6*AQ6))/2</f>
        <v>72.221365073845</v>
      </c>
      <c r="K6" s="48" t="n">
        <f aca="false">IF(AI6&gt;180,AT6-180,AT6+180)</f>
        <v>256.598340810084</v>
      </c>
      <c r="L6" s="10" t="n">
        <f aca="false">L5+1</f>
        <v>2459857.5</v>
      </c>
      <c r="M6" s="49" t="n">
        <f aca="false">(L6-2451545)/36525</f>
        <v>0.227583846680356</v>
      </c>
      <c r="N6" s="10" t="n">
        <f aca="false">MOD(280.46061837+360.98564736629*(L6-2451545)+0.000387933*M6^2-M6^3/38710000+$G$4,360)</f>
        <v>13.6543707479723</v>
      </c>
      <c r="O6" s="24" t="n">
        <f aca="false">0.60643382+1336.85522467*M6 - 0.00000313*M6^2 - INT(0.60643382+1336.85522467*M6 - 0.00000313*M6^2)</f>
        <v>0.853088143013565</v>
      </c>
      <c r="P6" s="10" t="n">
        <f aca="false">22640*SIN(Q6)-4586*SIN(Q6-2*S6)+2370*SIN(2*S6)+769*SIN(2*Q6)-668*SIN(R6)-412*SIN(2*T6)-212*SIN(2*Q6-2*S6)-206*SIN(Q6+R6-2*S6)+192*SIN(Q6+2*S6)-165*SIN(R6-2*S6)-125*SIN(S6)-110*SIN(Q6+R6)+148*SIN(Q6-R6)-55*SIN(2*T6-2*S6)</f>
        <v>3596.72308063179</v>
      </c>
      <c r="Q6" s="18" t="n">
        <f aca="false">2*PI()*(0.374897+1325.55241*M6 - INT(0.374897+1325.55241*M6))</f>
        <v>0.30921718961533</v>
      </c>
      <c r="R6" s="26" t="n">
        <f aca="false">2*PI()*(0.993133+99.997361*M6 - INT(0.993133+99.997361*M6))</f>
        <v>4.71815112792711</v>
      </c>
      <c r="S6" s="26" t="n">
        <f aca="false">2*PI()*(0.827361+1236.853086*M6 - INT(0.827361+1236.853086*M6))</f>
        <v>1.98010871812572</v>
      </c>
      <c r="T6" s="26" t="n">
        <f aca="false">2*PI()*(0.259086+1342.227825*M6 - INT(0.259086+1342.227825*M6))</f>
        <v>4.57703368023564</v>
      </c>
      <c r="U6" s="26" t="n">
        <f aca="false">T6+(P6+412*SIN(2*T6)+541*SIN(R6))/206264.8062</f>
        <v>4.5923824331564</v>
      </c>
      <c r="V6" s="26" t="n">
        <f aca="false">T6-2*S6</f>
        <v>0.61681624398419</v>
      </c>
      <c r="W6" s="25" t="n">
        <f aca="false">-526*SIN(V6)+44*SIN(Q6+V6)-31*SIN(-Q6+V6)-23*SIN(R6+V6)+11*SIN(-R6+V6)-25*SIN(-2*Q6+T6)+21*SIN(-Q6+T6)</f>
        <v>-251.516239866744</v>
      </c>
      <c r="X6" s="26" t="n">
        <f aca="false">2*PI()*(O6+P6/1296000-INT(O6+P6/1296000))</f>
        <v>5.37754829147848</v>
      </c>
      <c r="Y6" s="26" t="n">
        <f aca="false">(18520*SIN(U6)+W6)/206264.8062</f>
        <v>-0.0903611139641054</v>
      </c>
      <c r="Z6" s="26" t="n">
        <f aca="false">Y6*180/PI()</f>
        <v>-5.17731046224389</v>
      </c>
      <c r="AA6" s="26" t="n">
        <f aca="false">COS(Y6)*COS(X6)</f>
        <v>0.614666507396777</v>
      </c>
      <c r="AB6" s="26" t="n">
        <f aca="false">COS(Y6)*SIN(X6)</f>
        <v>-0.783608417967114</v>
      </c>
      <c r="AC6" s="26" t="n">
        <f aca="false">SIN(Y6)</f>
        <v>-0.0902381957694446</v>
      </c>
      <c r="AD6" s="26" t="n">
        <f aca="false">COS($G$6*(23.4393-46.815*M6/3600))*AB6-SIN($G$6*(23.4393-46.815*M6/3600))*AC6</f>
        <v>-0.683072289235472</v>
      </c>
      <c r="AE6" s="26" t="n">
        <f aca="false">SIN($G$6*(23.4393-46.815*M6/3600))*AB6+COS($G$6*(23.4393-46.815*M6/3600))*AC6</f>
        <v>-0.394458277088034</v>
      </c>
      <c r="AF6" s="26" t="n">
        <f aca="false">SQRT(1-AE6*AE6)</f>
        <v>0.918913852130187</v>
      </c>
      <c r="AG6" s="10" t="n">
        <f aca="false">ATAN(AE6/AF6)/$G$6</f>
        <v>-23.2321924762633</v>
      </c>
      <c r="AH6" s="26" t="n">
        <f aca="false">IF(24*ATAN(AD6/(AA6+AF6))/PI()&gt;0,24*ATAN(AD6/(AA6+AF6))/PI(),24*ATAN(AD6/(AA6+AF6))/PI()+24)</f>
        <v>20.7988430000954</v>
      </c>
      <c r="AI6" s="10" t="n">
        <f aca="false">IF(N6-15*AH6&gt;0,N6-15*AH6,360+N6-15*AH6)</f>
        <v>61.6717257465406</v>
      </c>
      <c r="AJ6" s="18" t="n">
        <f aca="false">0.950724+0.051818*COS(Q6)+0.009531*COS(2*S6-Q6)+0.007843*COS(2*S6)+0.002824*COS(2*Q6)+0.000857*COS(2*S6+Q6)+0.000533*COS(2*S6-R6)+0.000401*COS(2*S6-R6-Q6)+0.00032*COS(Q6-R6)-0.000271*COS(S6)</f>
        <v>0.988931451858317</v>
      </c>
      <c r="AK6" s="50" t="n">
        <f aca="false">ASIN(COS($G$6*$G$2)*COS($G$6*AG6)*COS($G$6*AI6)+SIN($G$6*$G$2)*SIN($G$6*AG6))/$G$6</f>
        <v>33.7457851857626</v>
      </c>
      <c r="AL6" s="18" t="n">
        <f aca="false">ASIN((0.9983271+0.0016764*COS($G$6*2*$G$2))*COS($G$6*AK6)*SIN($G$6*AJ6))/$G$6</f>
        <v>0.821876202623259</v>
      </c>
      <c r="AM6" s="18" t="n">
        <f aca="false">AK6-AL6</f>
        <v>32.9239089831394</v>
      </c>
      <c r="AN6" s="10" t="n">
        <f aca="false"> IF(280.4664567 + 360007.6982779*M6/10 + 0.03032028*M6^2/100 + M6^3/49931000&lt;0,MOD(280.4664567 + 360007.6982779*M6/10 + 0.03032028*M6^2/100 + M6^3/49931000+360,360),MOD(280.4664567 + 360007.6982779*M6/10 + 0.03032028*M6^2/100 + M6^3/49931000,360))</f>
        <v>193.660153266988</v>
      </c>
      <c r="AO6" s="27" t="n">
        <f aca="false"> AN6 + (1.9146 - 0.004817*M6 - 0.000014*M6^2)*SIN(R6)+ (0.019993 - 0.000101*M6)*SIN(2*R6)+ 0.00029*SIN(3*R6)</f>
        <v>191.746741851236</v>
      </c>
      <c r="AP6" s="18" t="n">
        <f aca="false">ACOS(COS(X6-$G$6*AO6)*COS(Y6))/$G$6</f>
        <v>116.248283080821</v>
      </c>
      <c r="AQ6" s="25" t="n">
        <f aca="false">180 - AP6 -0.1468*(1-0.0549*SIN(R6))*SIN($G$6*AP6)/(1-0.0167*SIN($G$6*AO6))</f>
        <v>63.6132964977774</v>
      </c>
      <c r="AR6" s="25" t="n">
        <f aca="false">SIN($G$6*AI6)</f>
        <v>0.880243293822872</v>
      </c>
      <c r="AS6" s="25" t="n">
        <f aca="false">COS($G$6*AI6)*SIN($G$6*$G$2) - TAN($G$6*AG6)*COS($G$6*$G$2)</f>
        <v>0.209730469686062</v>
      </c>
      <c r="AT6" s="25" t="n">
        <f aca="false">IF(OR(AND(AR6*AS6&gt;0), AND(AR6&lt;0,AS6&gt;0)), MOD(ATAN2(AS6,AR6)/$G$6+360,360),  ATAN2(AS6,AR6)/$G$6)</f>
        <v>76.5983408100839</v>
      </c>
      <c r="AU6" s="18" t="n">
        <f aca="false">IF((X6-X5)/$G$6&lt;0,(X6-X5)/$G$6+360,(X6-X5)/$G$6)</f>
        <v>14.2480514784044</v>
      </c>
      <c r="AV6" s="29" t="n">
        <f aca="false">(1+SIN($G$6*H6)*SIN($G$6*AJ6))*120*ASIN(0.272481*SIN($G$6*AJ6))/$G$6</f>
        <v>32.6376401709251</v>
      </c>
      <c r="AW6" s="10" t="n">
        <f aca="false">COS(X6)</f>
        <v>0.617184489470827</v>
      </c>
      <c r="AX6" s="10" t="n">
        <f aca="false">SIN(X6)</f>
        <v>-0.786818470777495</v>
      </c>
      <c r="AY6" s="30" t="n">
        <f aca="false"> 385000.56 + (-20905355*COS(Q6) - 3699111*COS(2*S6-Q6) - 2955968*COS(2*S6) - 569925*COS(2*Q6) + (1-0.002516*M6)*48888*COS(R6) - 3149*COS(2*T6)  +246158*COS(2*S6-2*Q6) -(1-0.002516*M6)*152138*COS(2*S6-R6-Q6) -170733*COS(2*S6+Q6) -(1-0.002516*M6)*204586*COS(2*S6-R6) -(1-0.002516*M6)*129620*COS(R6-Q6)  + 108743*COS(S6) +(1-0.002516*M6)*104755*COS(R6+Q6) +10321*COS(2*S6-2*T6) +79661*COS(Q6-2*T6) -34782*COS(4*S6-Q6) -23210*COS(3*Q6)  -21636*COS(4*S6-2*Q6) +(1-0.002516*M6)*24208*COS(2*S6+R6-Q6) +(1-0.002516*M6)*30824*COS(2*S6+R6) -8379*COS(S6-Q6) -(1-0.002516*M6)*16675*COS(S6+R6)  -(1-0.002516*M6)*12831*COS(2*S6-R6+Q6) -10445*COS(2*S6+2*Q6) -11650*COS(4*S6) +14403*COS(2*S6-3*Q6) -(1-0.002516*M6)*7003*COS(R6-2*Q6)  + (1-0.002516*M6)*10056*COS(2*S6-R6-2*Q6) +6322*COS(S6+Q6) -(1-0.002516*M6)*(1-0.002516*M6)*9884*COS(2*S6-2*R6) +(1-0.002516*M6)*5751*COS(R6+2*Q6) -(1-0.002516*M6)*(1-0.002516*M6)*4950*COS(2*S6-2*R6-Q6)  +4130*COS(2*S6+Q6-2*T6) -(1-0.002516*M6)*3958*COS(4*S6-R6-Q6) +3258*COS(3*S6-Q6) +(1-0.002516*M6)*2616*COS(2*S6+R6+Q6) -(1-0.002516*M6)*1897*COS(4*S6-R6-2*Q6)  -(1-0.002516*M6)*(1-0.002516*M6)*2117*COS(2*R6-Q6) +(1-0.002516*M6)*(1-0.002516*M6)*2354*COS(2*S6+2*R6-Q6) -1423*COS(4*S6+Q6) -1117*COS(4*Q6) -(1-0.002516*M6)*1571*COS(4*S6-R6)  -1739*COS(S6-2*Q6) -4421*COS(2*Q6-2*T6) +(1-0.002516*M6)*(1-0.002516*M6)*1165*COS(2*R6+Q6) +8752*COS(2*S6-Q6-2*T6))/1000</f>
        <v>369358.168557707</v>
      </c>
      <c r="AZ6" s="17" t="n">
        <f aca="false">AZ5+1</f>
        <v>278</v>
      </c>
      <c r="BA6" s="17" t="n">
        <v>5</v>
      </c>
      <c r="BB6" s="32" t="n">
        <f aca="false">ATAN(0.99664719*TAN($G$6*input!$E$2))</f>
        <v>-0.400219206115995</v>
      </c>
      <c r="BC6" s="32" t="n">
        <f aca="false">COS(BB6)</f>
        <v>0.920975608992155</v>
      </c>
      <c r="BD6" s="32" t="n">
        <f aca="false">0.99664719*SIN(BB6)</f>
        <v>-0.388313912533463</v>
      </c>
      <c r="BE6" s="32" t="n">
        <f aca="false">6378.14/AY6</f>
        <v>0.0172681709596562</v>
      </c>
      <c r="BF6" s="33" t="n">
        <f aca="false">N6-15*AH6</f>
        <v>-298.328274253459</v>
      </c>
      <c r="BG6" s="27" t="n">
        <f aca="false">COS($G$6*AG6)*SIN($G$6*BF6)</f>
        <v>0.808867755938539</v>
      </c>
      <c r="BH6" s="27" t="n">
        <f aca="false">COS($G$6*AG6)*COS($G$6*BF6)-BC6*BE6</f>
        <v>0.420141870339053</v>
      </c>
      <c r="BI6" s="27" t="n">
        <f aca="false">SIN($G$6*AG6)-BD6*BE6</f>
        <v>-0.387752806060393</v>
      </c>
      <c r="BJ6" s="46" t="n">
        <f aca="false">SQRT(BG6^2+BH6^2+BI6^2)</f>
        <v>0.990524344181785</v>
      </c>
      <c r="BK6" s="35" t="n">
        <f aca="false">AY6*BJ6</f>
        <v>365858.257678808</v>
      </c>
      <c r="BL6" s="51" t="str">
        <f aca="false">IF(OR(AND(BK6&gt;BK5,BK6&gt;BK7),AND(BK6&lt;BK5,BK6&lt;BK7)),BK6,"")</f>
        <v/>
      </c>
    </row>
    <row r="7" customFormat="false" ht="15" hidden="false" customHeight="false" outlineLevel="0" collapsed="false">
      <c r="A7" s="20"/>
      <c r="B7" s="20"/>
      <c r="C7" s="20"/>
      <c r="D7" s="17" t="n">
        <v>6</v>
      </c>
      <c r="E7" s="17" t="n">
        <f aca="false">$E$2</f>
        <v>10</v>
      </c>
      <c r="F7" s="17" t="n">
        <f aca="false">$F$2</f>
        <v>2022</v>
      </c>
      <c r="G7" s="52" t="s">
        <v>75</v>
      </c>
      <c r="H7" s="39" t="n">
        <f aca="false">AM7</f>
        <v>44.349734076263</v>
      </c>
      <c r="I7" s="48" t="n">
        <f aca="false">H7+1.02/(TAN($G$6*(H7+10.3/(H7+5.11)))*60)</f>
        <v>44.3669984182121</v>
      </c>
      <c r="J7" s="39" t="n">
        <f aca="false">100*(1+COS($G$6*AQ7))/2</f>
        <v>81.8519842497529</v>
      </c>
      <c r="K7" s="48" t="n">
        <f aca="false">IF(AI7&gt;180,AT7-180,AT7+180)</f>
        <v>265.805606710656</v>
      </c>
      <c r="L7" s="10" t="n">
        <f aca="false">L6+1</f>
        <v>2459858.5</v>
      </c>
      <c r="M7" s="49" t="n">
        <f aca="false">(L7-2451545)/36525</f>
        <v>0.227611225188227</v>
      </c>
      <c r="N7" s="10" t="n">
        <f aca="false">MOD(280.46061837+360.98564736629*(L7-2451545)+0.000387933*M7^2-M7^3/38710000+$G$4,360)</f>
        <v>14.6400181190111</v>
      </c>
      <c r="O7" s="24" t="n">
        <f aca="false">0.60643382+1336.85522467*M7 - 0.00000313*M7^2 - INT(0.60643382+1336.85522467*M7 - 0.00000313*M7^2)</f>
        <v>0.889689244265981</v>
      </c>
      <c r="P7" s="10" t="n">
        <f aca="false">22640*SIN(Q7)-4586*SIN(Q7-2*S7)+2370*SIN(2*S7)+769*SIN(2*Q7)-668*SIN(R7)-412*SIN(2*T7)-212*SIN(2*Q7-2*S7)-206*SIN(Q7+R7-2*S7)+192*SIN(Q7+2*S7)-165*SIN(R7-2*S7)-125*SIN(S7)-110*SIN(Q7+R7)+148*SIN(Q7-R7)-55*SIN(2*T7-2*S7)</f>
        <v>7514.01570575301</v>
      </c>
      <c r="Q7" s="18" t="n">
        <f aca="false">2*PI()*(0.374897+1325.55241*M7 - INT(0.374897+1325.55241*M7))</f>
        <v>0.537244333391148</v>
      </c>
      <c r="R7" s="26" t="n">
        <f aca="false">2*PI()*(0.993133+99.997361*M7 - INT(0.993133+99.997361*M7))</f>
        <v>4.73535309779412</v>
      </c>
      <c r="S7" s="26" t="n">
        <f aca="false">2*PI()*(0.827361+1236.853086*M7 - INT(0.827361+1236.853086*M7))</f>
        <v>2.19287742824475</v>
      </c>
      <c r="T7" s="26" t="n">
        <f aca="false">2*PI()*(0.259086+1342.227825*M7 - INT(0.259086+1342.227825*M7))</f>
        <v>4.80792939957664</v>
      </c>
      <c r="U7" s="26" t="n">
        <f aca="false">T7+(P7+412*SIN(2*T7)+541*SIN(R7))/206264.8062</f>
        <v>4.84135687256086</v>
      </c>
      <c r="V7" s="26" t="n">
        <f aca="false">T7-2*S7</f>
        <v>0.422174543087145</v>
      </c>
      <c r="W7" s="25" t="n">
        <f aca="false">-526*SIN(V7)+44*SIN(Q7+V7)-31*SIN(-Q7+V7)-23*SIN(R7+V7)+11*SIN(-R7+V7)-25*SIN(-2*Q7+T7)+21*SIN(-Q7+T7)</f>
        <v>-150.080236568675</v>
      </c>
      <c r="X7" s="26" t="n">
        <f aca="false">2*PI()*(O7+P7/1296000-INT(O7+P7/1296000))</f>
        <v>5.62651136366993</v>
      </c>
      <c r="Y7" s="26" t="n">
        <f aca="false">(18520*SIN(U7)+W7)/206264.8062</f>
        <v>-0.0897694326893127</v>
      </c>
      <c r="Z7" s="26" t="n">
        <f aca="false">Y7*180/PI()</f>
        <v>-5.14340962238135</v>
      </c>
      <c r="AA7" s="26" t="n">
        <f aca="false">COS(Y7)*COS(X7)</f>
        <v>0.788837966362507</v>
      </c>
      <c r="AB7" s="26" t="n">
        <f aca="false">COS(Y7)*SIN(X7)</f>
        <v>-0.608027742198123</v>
      </c>
      <c r="AC7" s="26" t="n">
        <f aca="false">SIN(Y7)</f>
        <v>-0.0896489126677939</v>
      </c>
      <c r="AD7" s="26" t="n">
        <f aca="false">COS($G$6*(23.4393-46.815*M7/3600))*AB7-SIN($G$6*(23.4393-46.815*M7/3600))*AC7</f>
        <v>-0.522210949751203</v>
      </c>
      <c r="AE7" s="26" t="n">
        <f aca="false">SIN($G$6*(23.4393-46.815*M7/3600))*AB7+COS($G$6*(23.4393-46.815*M7/3600))*AC7</f>
        <v>-0.324083919355793</v>
      </c>
      <c r="AF7" s="26" t="n">
        <f aca="false">SQRT(1-AE7*AE7)</f>
        <v>0.946028336369999</v>
      </c>
      <c r="AG7" s="10" t="n">
        <f aca="false">ATAN(AE7/AF7)/$G$6</f>
        <v>-18.9100837635884</v>
      </c>
      <c r="AH7" s="26" t="n">
        <f aca="false">IF(24*ATAN(AD7/(AA7+AF7))/PI()&gt;0,24*ATAN(AD7/(AA7+AF7))/PI(),24*ATAN(AD7/(AA7+AF7))/PI()+24)</f>
        <v>21.7663619943934</v>
      </c>
      <c r="AI7" s="10" t="n">
        <f aca="false">IF(N7-15*AH7&gt;0,N7-15*AH7,360+N7-15*AH7)</f>
        <v>48.1445882031099</v>
      </c>
      <c r="AJ7" s="18" t="n">
        <f aca="false">0.950724+0.051818*COS(Q7)+0.009531*COS(2*S7-Q7)+0.007843*COS(2*S7)+0.002824*COS(2*Q7)+0.000857*COS(2*S7+Q7)+0.000533*COS(2*S7-R7)+0.000401*COS(2*S7-R7-Q7)+0.00032*COS(Q7-R7)-0.000271*COS(S7)</f>
        <v>0.987756996720531</v>
      </c>
      <c r="AK7" s="50" t="n">
        <f aca="false">ASIN(COS($G$6*$G$2)*COS($G$6*AG7)*COS($G$6*AI7)+SIN($G$6*$G$2)*SIN($G$6*AG7))/$G$6</f>
        <v>45.0472355923361</v>
      </c>
      <c r="AL7" s="18" t="n">
        <f aca="false">ASIN((0.9983271+0.0016764*COS($G$6*2*$G$2))*COS($G$6*AK7)*SIN($G$6*AJ7))/$G$6</f>
        <v>0.697501516073107</v>
      </c>
      <c r="AM7" s="18" t="n">
        <f aca="false">AK7-AL7</f>
        <v>44.349734076263</v>
      </c>
      <c r="AN7" s="10" t="n">
        <f aca="false"> IF(280.4664567 + 360007.6982779*M7/10 + 0.03032028*M7^2/100 + M7^3/49931000&lt;0,MOD(280.4664567 + 360007.6982779*M7/10 + 0.03032028*M7^2/100 + M7^3/49931000+360,360),MOD(280.4664567 + 360007.6982779*M7/10 + 0.03032028*M7^2/100 + M7^3/49931000,360))</f>
        <v>194.645800630871</v>
      </c>
      <c r="AO7" s="27" t="n">
        <f aca="false"> AN7 + (1.9146 - 0.004817*M7 - 0.000014*M7^2)*SIN(R7)+ (0.019993 - 0.000101*M7)*SIN(2*R7)+ 0.00029*SIN(3*R7)</f>
        <v>192.732174727927</v>
      </c>
      <c r="AP7" s="18" t="n">
        <f aca="false">ACOS(COS(X7-$G$6*AO7)*COS(Y7))/$G$6</f>
        <v>129.452293677372</v>
      </c>
      <c r="AQ7" s="25" t="n">
        <f aca="false">180 - AP7 -0.1468*(1-0.0549*SIN(R7))*SIN($G$6*AP7)/(1-0.0167*SIN($G$6*AO7))</f>
        <v>50.4285712163157</v>
      </c>
      <c r="AR7" s="25" t="n">
        <f aca="false">SIN($G$6*AI7)</f>
        <v>0.744831035405246</v>
      </c>
      <c r="AS7" s="25" t="n">
        <f aca="false">COS($G$6*AI7)*SIN($G$6*$G$2) - TAN($G$6*AG7)*COS($G$6*$G$2)</f>
        <v>0.0546236937737944</v>
      </c>
      <c r="AT7" s="25" t="n">
        <f aca="false">IF(OR(AND(AR7*AS7&gt;0), AND(AR7&lt;0,AS7&gt;0)), MOD(ATAN2(AS7,AR7)/$G$6+360,360),  ATAN2(AS7,AR7)/$G$6)</f>
        <v>85.8056067106562</v>
      </c>
      <c r="AU7" s="18" t="n">
        <f aca="false">IF((X7-X6)/$G$6&lt;0,(X7-X6)/$G$6+360,(X7-X6)/$G$6)</f>
        <v>14.264533291181</v>
      </c>
      <c r="AV7" s="29" t="n">
        <f aca="false">(1+SIN($G$6*H7)*SIN($G$6*AJ7))*120*ASIN(0.272481*SIN($G$6*AJ7))/$G$6</f>
        <v>32.6851032092342</v>
      </c>
      <c r="AW7" s="10" t="n">
        <f aca="false">COS(X7)</f>
        <v>0.792027119321819</v>
      </c>
      <c r="AX7" s="10" t="n">
        <f aca="false">SIN(X7)</f>
        <v>-0.610485906683178</v>
      </c>
      <c r="AY7" s="30" t="n">
        <f aca="false"> 385000.56 + (-20905355*COS(Q7) - 3699111*COS(2*S7-Q7) - 2955968*COS(2*S7) - 569925*COS(2*Q7) + (1-0.002516*M7)*48888*COS(R7) - 3149*COS(2*T7)  +246158*COS(2*S7-2*Q7) -(1-0.002516*M7)*152138*COS(2*S7-R7-Q7) -170733*COS(2*S7+Q7) -(1-0.002516*M7)*204586*COS(2*S7-R7) -(1-0.002516*M7)*129620*COS(R7-Q7)  + 108743*COS(S7) +(1-0.002516*M7)*104755*COS(R7+Q7) +10321*COS(2*S7-2*T7) +79661*COS(Q7-2*T7) -34782*COS(4*S7-Q7) -23210*COS(3*Q7)  -21636*COS(4*S7-2*Q7) +(1-0.002516*M7)*24208*COS(2*S7+R7-Q7) +(1-0.002516*M7)*30824*COS(2*S7+R7) -8379*COS(S7-Q7) -(1-0.002516*M7)*16675*COS(S7+R7)  -(1-0.002516*M7)*12831*COS(2*S7-R7+Q7) -10445*COS(2*S7+2*Q7) -11650*COS(4*S7) +14403*COS(2*S7-3*Q7) -(1-0.002516*M7)*7003*COS(R7-2*Q7)  + (1-0.002516*M7)*10056*COS(2*S7-R7-2*Q7) +6322*COS(S7+Q7) -(1-0.002516*M7)*(1-0.002516*M7)*9884*COS(2*S7-2*R7) +(1-0.002516*M7)*5751*COS(R7+2*Q7) -(1-0.002516*M7)*(1-0.002516*M7)*4950*COS(2*S7-2*R7-Q7)  +4130*COS(2*S7+Q7-2*T7) -(1-0.002516*M7)*3958*COS(4*S7-R7-Q7) +3258*COS(3*S7-Q7) +(1-0.002516*M7)*2616*COS(2*S7+R7+Q7) -(1-0.002516*M7)*1897*COS(4*S7-R7-2*Q7)  -(1-0.002516*M7)*(1-0.002516*M7)*2117*COS(2*R7-Q7) +(1-0.002516*M7)*(1-0.002516*M7)*2354*COS(2*S7+2*R7-Q7) -1423*COS(4*S7+Q7) -1117*COS(4*Q7) -(1-0.002516*M7)*1571*COS(4*S7-R7)  -1739*COS(S7-2*Q7) -4421*COS(2*Q7-2*T7) +(1-0.002516*M7)*(1-0.002516*M7)*1165*COS(2*R7+Q7) +8752*COS(2*S7-Q7-2*T7))/1000</f>
        <v>369903.130398636</v>
      </c>
      <c r="AZ7" s="17" t="n">
        <f aca="false">AZ6+1</f>
        <v>279</v>
      </c>
      <c r="BA7" s="17" t="n">
        <v>6</v>
      </c>
      <c r="BB7" s="32" t="n">
        <f aca="false">ATAN(0.99664719*TAN($G$6*input!$E$2))</f>
        <v>-0.400219206115995</v>
      </c>
      <c r="BC7" s="32" t="n">
        <f aca="false">COS(BB7)</f>
        <v>0.920975608992155</v>
      </c>
      <c r="BD7" s="32" t="n">
        <f aca="false">0.99664719*SIN(BB7)</f>
        <v>-0.388313912533463</v>
      </c>
      <c r="BE7" s="32" t="n">
        <f aca="false">6378.14/AY7</f>
        <v>0.0172427305308999</v>
      </c>
      <c r="BF7" s="33" t="n">
        <f aca="false">N7-15*AH7</f>
        <v>-311.85541179689</v>
      </c>
      <c r="BG7" s="27" t="n">
        <f aca="false">COS($G$6*AG7)*SIN($G$6*BF7)</f>
        <v>0.704631265301168</v>
      </c>
      <c r="BH7" s="27" t="n">
        <f aca="false">COS($G$6*AG7)*COS($G$6*BF7)-BC7*BE7</f>
        <v>0.615360226605765</v>
      </c>
      <c r="BI7" s="27" t="n">
        <f aca="false">SIN($G$6*AG7)-BD7*BE7</f>
        <v>-0.317388327200579</v>
      </c>
      <c r="BJ7" s="46" t="n">
        <f aca="false">SQRT(BG7^2+BH7^2+BI7^2)</f>
        <v>0.987880953744633</v>
      </c>
      <c r="BK7" s="35" t="n">
        <f aca="false">AY7*BJ7</f>
        <v>365420.25725133</v>
      </c>
      <c r="BL7" s="51" t="n">
        <f aca="false">IF(OR(AND(BK7&gt;BK6,BK7&gt;BK8),AND(BK7&lt;BK6,BK7&lt;BK8)),BK7,"")</f>
        <v>365420.25725133</v>
      </c>
    </row>
    <row r="8" customFormat="false" ht="15" hidden="false" customHeight="false" outlineLevel="0" collapsed="false">
      <c r="A8" s="20"/>
      <c r="B8" s="20"/>
      <c r="C8" s="20"/>
      <c r="D8" s="17" t="n">
        <v>7</v>
      </c>
      <c r="E8" s="17" t="n">
        <f aca="false">$E$2</f>
        <v>10</v>
      </c>
      <c r="F8" s="17" t="n">
        <f aca="false">$F$2</f>
        <v>2022</v>
      </c>
      <c r="H8" s="39" t="n">
        <f aca="false">AM8</f>
        <v>54.5611608283847</v>
      </c>
      <c r="I8" s="48" t="n">
        <f aca="false">H8+1.02/(TAN($G$6*(H8+10.3/(H8+5.11)))*60)</f>
        <v>54.5731824611641</v>
      </c>
      <c r="J8" s="39" t="n">
        <f aca="false">100*(1+COS($G$6*AQ8))/2</f>
        <v>89.7782623682179</v>
      </c>
      <c r="K8" s="48" t="n">
        <f aca="false">IF(AI8&gt;180,AT8-180,AT8+180)</f>
        <v>279.452443101673</v>
      </c>
      <c r="L8" s="10" t="n">
        <f aca="false">L7+1</f>
        <v>2459859.5</v>
      </c>
      <c r="M8" s="49" t="n">
        <f aca="false">(L8-2451545)/36525</f>
        <v>0.227638603696099</v>
      </c>
      <c r="N8" s="10" t="n">
        <f aca="false">MOD(280.46061837+360.98564736629*(L8-2451545)+0.000387933*M8^2-M8^3/38710000+$G$4,360)</f>
        <v>15.6256654905155</v>
      </c>
      <c r="O8" s="24" t="n">
        <f aca="false">0.60643382+1336.85522467*M8 - 0.00000313*M8^2 - INT(0.60643382+1336.85522467*M8 - 0.00000313*M8^2)</f>
        <v>0.926290345518453</v>
      </c>
      <c r="P8" s="10" t="n">
        <f aca="false">22640*SIN(Q8)-4586*SIN(Q8-2*S8)+2370*SIN(2*S8)+769*SIN(2*Q8)-668*SIN(R8)-412*SIN(2*T8)-212*SIN(2*Q8-2*S8)-206*SIN(Q8+R8-2*S8)+192*SIN(Q8+2*S8)-165*SIN(R8-2*S8)-125*SIN(S8)-110*SIN(Q8+R8)+148*SIN(Q8-R8)-55*SIN(2*T8-2*S8)</f>
        <v>11277.9671300755</v>
      </c>
      <c r="Q8" s="18" t="n">
        <f aca="false">2*PI()*(0.374897+1325.55241*M8 - INT(0.374897+1325.55241*M8))</f>
        <v>0.765271477166966</v>
      </c>
      <c r="R8" s="26" t="n">
        <f aca="false">2*PI()*(0.993133+99.997361*M8 - INT(0.993133+99.997361*M8))</f>
        <v>4.7525550676611</v>
      </c>
      <c r="S8" s="26" t="n">
        <f aca="false">2*PI()*(0.827361+1236.853086*M8 - INT(0.827361+1236.853086*M8))</f>
        <v>2.40564613836377</v>
      </c>
      <c r="T8" s="26" t="n">
        <f aca="false">2*PI()*(0.259086+1342.227825*M8 - INT(0.259086+1342.227825*M8))</f>
        <v>5.03882511891764</v>
      </c>
      <c r="U8" s="26" t="n">
        <f aca="false">T8+(P8+412*SIN(2*T8)+541*SIN(R8))/206264.8062</f>
        <v>5.08966813876514</v>
      </c>
      <c r="V8" s="26" t="n">
        <f aca="false">T8-2*S8</f>
        <v>0.227532842190102</v>
      </c>
      <c r="W8" s="25" t="n">
        <f aca="false">-526*SIN(V8)+44*SIN(Q8+V8)-31*SIN(-Q8+V8)-23*SIN(R8+V8)+11*SIN(-R8+V8)-25*SIN(-2*Q8+T8)+21*SIN(-Q8+T8)</f>
        <v>-42.9802601672761</v>
      </c>
      <c r="X8" s="26" t="n">
        <f aca="false">2*PI()*(O8+P8/1296000-INT(O8+P8/1296000))</f>
        <v>5.87473101674149</v>
      </c>
      <c r="Y8" s="26" t="n">
        <f aca="false">(18520*SIN(U8)+W8)/206264.8062</f>
        <v>-0.0836811505662644</v>
      </c>
      <c r="Z8" s="26" t="n">
        <f aca="false">Y8*180/PI()</f>
        <v>-4.79457675224573</v>
      </c>
      <c r="AA8" s="26" t="n">
        <f aca="false">COS(Y8)*COS(X8)</f>
        <v>0.914524497124653</v>
      </c>
      <c r="AB8" s="26" t="n">
        <f aca="false">COS(Y8)*SIN(X8)</f>
        <v>-0.395801388464865</v>
      </c>
      <c r="AC8" s="26" t="n">
        <f aca="false">SIN(Y8)</f>
        <v>-0.0835835213913962</v>
      </c>
      <c r="AD8" s="26" t="n">
        <f aca="false">COS($G$6*(23.4393-46.815*M8/3600))*AB8-SIN($G$6*(23.4393-46.815*M8/3600))*AC8</f>
        <v>-0.329905118315875</v>
      </c>
      <c r="AE8" s="26" t="n">
        <f aca="false">SIN($G$6*(23.4393-46.815*M8/3600))*AB8+COS($G$6*(23.4393-46.815*M8/3600))*AC8</f>
        <v>-0.234110138755009</v>
      </c>
      <c r="AF8" s="26" t="n">
        <f aca="false">SQRT(1-AE8*AE8)</f>
        <v>0.972210081686109</v>
      </c>
      <c r="AG8" s="10" t="n">
        <f aca="false">ATAN(AE8/AF8)/$G$6</f>
        <v>-13.5391743147829</v>
      </c>
      <c r="AH8" s="26" t="n">
        <f aca="false">IF(24*ATAN(AD8/(AA8+AF8))/PI()&gt;0,24*ATAN(AD8/(AA8+AF8))/PI(),24*ATAN(AD8/(AA8+AF8))/PI()+24)</f>
        <v>22.6775748641979</v>
      </c>
      <c r="AI8" s="10" t="n">
        <f aca="false">IF(N8-15*AH8&gt;0,N8-15*AH8,360+N8-15*AH8)</f>
        <v>35.4620425275467</v>
      </c>
      <c r="AJ8" s="18" t="n">
        <f aca="false">0.950724+0.051818*COS(Q8)+0.009531*COS(2*S8-Q8)+0.007843*COS(2*S8)+0.002824*COS(2*Q8)+0.000857*COS(2*S8+Q8)+0.000533*COS(2*S8-R8)+0.000401*COS(2*S8-R8-Q8)+0.00032*COS(Q8-R8)-0.000271*COS(S8)</f>
        <v>0.98456900334648</v>
      </c>
      <c r="AK8" s="50" t="n">
        <f aca="false">ASIN(COS($G$6*$G$2)*COS($G$6*AG8)*COS($G$6*AI8)+SIN($G$6*$G$2)*SIN($G$6*AG8))/$G$6</f>
        <v>55.1238370715572</v>
      </c>
      <c r="AL8" s="18" t="n">
        <f aca="false">ASIN((0.9983271+0.0016764*COS($G$6*2*$G$2))*COS($G$6*AK8)*SIN($G$6*AJ8))/$G$6</f>
        <v>0.562676243172499</v>
      </c>
      <c r="AM8" s="18" t="n">
        <f aca="false">AK8-AL8</f>
        <v>54.5611608283847</v>
      </c>
      <c r="AN8" s="10" t="n">
        <f aca="false"> IF(280.4664567 + 360007.6982779*M8/10 + 0.03032028*M8^2/100 + M8^3/49931000&lt;0,MOD(280.4664567 + 360007.6982779*M8/10 + 0.03032028*M8^2/100 + M8^3/49931000+360,360),MOD(280.4664567 + 360007.6982779*M8/10 + 0.03032028*M8^2/100 + M8^3/49931000,360))</f>
        <v>195.631447994752</v>
      </c>
      <c r="AO8" s="27" t="n">
        <f aca="false"> AN8 + (1.9146 - 0.004817*M8 - 0.000014*M8^2)*SIN(R8)+ (0.019993 - 0.000101*M8)*SIN(2*R8)+ 0.00029*SIN(3*R8)</f>
        <v>193.71817397662</v>
      </c>
      <c r="AP8" s="18" t="n">
        <f aca="false">ACOS(COS(X8-$G$6*AO8)*COS(Y8))/$G$6</f>
        <v>142.615026615631</v>
      </c>
      <c r="AQ8" s="25" t="n">
        <f aca="false">180 - AP8 -0.1468*(1-0.0549*SIN(R8))*SIN($G$6*AP8)/(1-0.0167*SIN($G$6*AO8))</f>
        <v>37.2913226781223</v>
      </c>
      <c r="AR8" s="25" t="n">
        <f aca="false">SIN($G$6*AI8)</f>
        <v>0.580163490734759</v>
      </c>
      <c r="AS8" s="25" t="n">
        <f aca="false">COS($G$6*AI8)*SIN($G$6*$G$2) - TAN($G$6*AG8)*COS($G$6*$G$2)</f>
        <v>-0.0965911058771156</v>
      </c>
      <c r="AT8" s="25" t="n">
        <f aca="false">IF(OR(AND(AR8*AS8&gt;0), AND(AR8&lt;0,AS8&gt;0)), MOD(ATAN2(AS8,AR8)/$G$6+360,360),  ATAN2(AS8,AR8)/$G$6)</f>
        <v>99.4524431016731</v>
      </c>
      <c r="AU8" s="18" t="n">
        <f aca="false">IF((X8-X7)/$G$6&lt;0,(X8-X7)/$G$6+360,(X8-X7)/$G$6)</f>
        <v>14.2219385132018</v>
      </c>
      <c r="AV8" s="29" t="n">
        <f aca="false">(1+SIN($G$6*H8)*SIN($G$6*AJ8))*120*ASIN(0.272481*SIN($G$6*AJ8))/$G$6</f>
        <v>32.6423686738014</v>
      </c>
      <c r="AW8" s="10" t="n">
        <f aca="false">COS(X8)</f>
        <v>0.917735861220393</v>
      </c>
      <c r="AX8" s="10" t="n">
        <f aca="false">SIN(X8)</f>
        <v>-0.397191249941465</v>
      </c>
      <c r="AY8" s="30" t="n">
        <f aca="false"> 385000.56 + (-20905355*COS(Q8) - 3699111*COS(2*S8-Q8) - 2955968*COS(2*S8) - 569925*COS(2*Q8) + (1-0.002516*M8)*48888*COS(R8) - 3149*COS(2*T8)  +246158*COS(2*S8-2*Q8) -(1-0.002516*M8)*152138*COS(2*S8-R8-Q8) -170733*COS(2*S8+Q8) -(1-0.002516*M8)*204586*COS(2*S8-R8) -(1-0.002516*M8)*129620*COS(R8-Q8)  + 108743*COS(S8) +(1-0.002516*M8)*104755*COS(R8+Q8) +10321*COS(2*S8-2*T8) +79661*COS(Q8-2*T8) -34782*COS(4*S8-Q8) -23210*COS(3*Q8)  -21636*COS(4*S8-2*Q8) +(1-0.002516*M8)*24208*COS(2*S8+R8-Q8) +(1-0.002516*M8)*30824*COS(2*S8+R8) -8379*COS(S8-Q8) -(1-0.002516*M8)*16675*COS(S8+R8)  -(1-0.002516*M8)*12831*COS(2*S8-R8+Q8) -10445*COS(2*S8+2*Q8) -11650*COS(4*S8) +14403*COS(2*S8-3*Q8) -(1-0.002516*M8)*7003*COS(R8-2*Q8)  + (1-0.002516*M8)*10056*COS(2*S8-R8-2*Q8) +6322*COS(S8+Q8) -(1-0.002516*M8)*(1-0.002516*M8)*9884*COS(2*S8-2*R8) +(1-0.002516*M8)*5751*COS(R8+2*Q8) -(1-0.002516*M8)*(1-0.002516*M8)*4950*COS(2*S8-2*R8-Q8)  +4130*COS(2*S8+Q8-2*T8) -(1-0.002516*M8)*3958*COS(4*S8-R8-Q8) +3258*COS(3*S8-Q8) +(1-0.002516*M8)*2616*COS(2*S8+R8+Q8) -(1-0.002516*M8)*1897*COS(4*S8-R8-2*Q8)  -(1-0.002516*M8)*(1-0.002516*M8)*2117*COS(2*R8-Q8) +(1-0.002516*M8)*(1-0.002516*M8)*2354*COS(2*S8+2*R8-Q8) -1423*COS(4*S8+Q8) -1117*COS(4*Q8) -(1-0.002516*M8)*1571*COS(4*S8-R8)  -1739*COS(S8-2*Q8) -4421*COS(2*Q8-2*T8) +(1-0.002516*M8)*(1-0.002516*M8)*1165*COS(2*R8+Q8) +8752*COS(2*S8-Q8-2*T8))/1000</f>
        <v>371206.952623731</v>
      </c>
      <c r="AZ8" s="17" t="n">
        <f aca="false">AZ7+1</f>
        <v>280</v>
      </c>
      <c r="BA8" s="17" t="n">
        <v>7</v>
      </c>
      <c r="BB8" s="32" t="n">
        <f aca="false">ATAN(0.99664719*TAN($G$6*input!$E$2))</f>
        <v>-0.400219206115995</v>
      </c>
      <c r="BC8" s="32" t="n">
        <f aca="false">COS(BB8)</f>
        <v>0.920975608992155</v>
      </c>
      <c r="BD8" s="32" t="n">
        <f aca="false">0.99664719*SIN(BB8)</f>
        <v>-0.388313912533463</v>
      </c>
      <c r="BE8" s="32" t="n">
        <f aca="false">6378.14/AY8</f>
        <v>0.0171821673999332</v>
      </c>
      <c r="BF8" s="33" t="n">
        <f aca="false">N8-15*AH8</f>
        <v>-324.537957472453</v>
      </c>
      <c r="BG8" s="27" t="n">
        <f aca="false">COS($G$6*AG8)*SIN($G$6*BF8)</f>
        <v>0.564040794718537</v>
      </c>
      <c r="BH8" s="27" t="n">
        <f aca="false">COS($G$6*AG8)*COS($G$6*BF8)-BC8*BE8</f>
        <v>0.776040798623633</v>
      </c>
      <c r="BI8" s="27" t="n">
        <f aca="false">SIN($G$6*AG8)-BD8*BE8</f>
        <v>-0.227438064106136</v>
      </c>
      <c r="BJ8" s="46" t="n">
        <f aca="false">SQRT(BG8^2+BH8^2+BI8^2)</f>
        <v>0.985956090421613</v>
      </c>
      <c r="BK8" s="35" t="n">
        <f aca="false">AY8*BJ8</f>
        <v>365993.755746215</v>
      </c>
      <c r="BL8" s="51" t="str">
        <f aca="false">IF(OR(AND(BK8&gt;BK7,BK8&gt;BK9),AND(BK8&lt;BK7,BK8&lt;BK9)),BK8,"")</f>
        <v/>
      </c>
    </row>
    <row r="9" customFormat="false" ht="15" hidden="false" customHeight="false" outlineLevel="0" collapsed="false">
      <c r="A9" s="20"/>
      <c r="B9" s="20"/>
      <c r="C9" s="20"/>
      <c r="D9" s="17" t="n">
        <v>8</v>
      </c>
      <c r="E9" s="17" t="n">
        <f aca="false">$E$2</f>
        <v>10</v>
      </c>
      <c r="F9" s="17" t="n">
        <f aca="false">$F$2</f>
        <v>2022</v>
      </c>
      <c r="G9" s="52" t="str">
        <f aca="false">IF(AND(MOD($F$2,4)=0,$A$5&lt;&gt;1700,$F$2&lt;&gt;1800,$F$2&lt;&gt;1900,$F$2&lt;&gt;2100,$F$2&lt;&gt;2200),"leap year","common year")</f>
        <v>common year</v>
      </c>
      <c r="H9" s="39" t="n">
        <f aca="false">AM9</f>
        <v>62.1646228142606</v>
      </c>
      <c r="I9" s="48" t="n">
        <f aca="false">H9+1.02/(TAN($G$6*(H9+10.3/(H9+5.11)))*60)</f>
        <v>62.1735413055554</v>
      </c>
      <c r="J9" s="39" t="n">
        <f aca="false">100*(1+COS($G$6*AQ9))/2</f>
        <v>95.5798680496168</v>
      </c>
      <c r="K9" s="48" t="n">
        <f aca="false">IF(AI9&gt;180,AT9-180,AT9+180)</f>
        <v>300.728935812199</v>
      </c>
      <c r="L9" s="10" t="n">
        <f aca="false">L8+1</f>
        <v>2459860.5</v>
      </c>
      <c r="M9" s="49" t="n">
        <f aca="false">(L9-2451545)/36525</f>
        <v>0.22766598220397</v>
      </c>
      <c r="N9" s="10" t="n">
        <f aca="false">MOD(280.46061837+360.98564736629*(L9-2451545)+0.000387933*M9^2-M9^3/38710000+$G$4,360)</f>
        <v>16.6113128615543</v>
      </c>
      <c r="O9" s="24" t="n">
        <f aca="false">0.60643382+1336.85522467*M9 - 0.00000313*M9^2 - INT(0.60643382+1336.85522467*M9 - 0.00000313*M9^2)</f>
        <v>0.962891446770925</v>
      </c>
      <c r="P9" s="10" t="n">
        <f aca="false">22640*SIN(Q9)-4586*SIN(Q9-2*S9)+2370*SIN(2*S9)+769*SIN(2*Q9)-668*SIN(R9)-412*SIN(2*T9)-212*SIN(2*Q9-2*S9)-206*SIN(Q9+R9-2*S9)+192*SIN(Q9+2*S9)-165*SIN(R9-2*S9)-125*SIN(S9)-110*SIN(Q9+R9)+148*SIN(Q9-R9)-55*SIN(2*T9-2*S9)</f>
        <v>14629.5159400464</v>
      </c>
      <c r="Q9" s="18" t="n">
        <f aca="false">2*PI()*(0.374897+1325.55241*M9 - INT(0.374897+1325.55241*M9))</f>
        <v>0.993298620942427</v>
      </c>
      <c r="R9" s="26" t="n">
        <f aca="false">2*PI()*(0.993133+99.997361*M9 - INT(0.993133+99.997361*M9))</f>
        <v>4.76975703752811</v>
      </c>
      <c r="S9" s="26" t="n">
        <f aca="false">2*PI()*(0.827361+1236.853086*M9 - INT(0.827361+1236.853086*M9))</f>
        <v>2.6184148484828</v>
      </c>
      <c r="T9" s="26" t="n">
        <f aca="false">2*PI()*(0.259086+1342.227825*M9 - INT(0.259086+1342.227825*M9))</f>
        <v>5.26972083825865</v>
      </c>
      <c r="U9" s="26" t="n">
        <f aca="false">T9+(P9+412*SIN(2*T9)+541*SIN(R9))/206264.8062</f>
        <v>5.33623498554407</v>
      </c>
      <c r="V9" s="26" t="n">
        <f aca="false">T9-2*S9</f>
        <v>0.0328911412930566</v>
      </c>
      <c r="W9" s="25" t="n">
        <f aca="false">-526*SIN(V9)+44*SIN(Q9+V9)-31*SIN(-Q9+V9)-23*SIN(R9+V9)+11*SIN(-R9+V9)-25*SIN(-2*Q9+T9)+21*SIN(-Q9+T9)</f>
        <v>64.1329799905321</v>
      </c>
      <c r="X9" s="26" t="n">
        <f aca="false">2*PI()*(O9+P9/1296000-INT(O9+P9/1296000))</f>
        <v>6.12095128551742</v>
      </c>
      <c r="Y9" s="26" t="n">
        <f aca="false">(18520*SIN(U9)+W9)/206264.8062</f>
        <v>-0.0725639965226084</v>
      </c>
      <c r="Z9" s="26" t="n">
        <f aca="false">Y9*180/PI()</f>
        <v>-4.15761074534745</v>
      </c>
      <c r="AA9" s="26" t="n">
        <f aca="false">COS(Y9)*COS(X9)</f>
        <v>0.984271843997677</v>
      </c>
      <c r="AB9" s="26" t="n">
        <f aca="false">COS(Y9)*SIN(X9)</f>
        <v>-0.161098227749454</v>
      </c>
      <c r="AC9" s="26" t="n">
        <f aca="false">SIN(Y9)</f>
        <v>-0.0725003319261219</v>
      </c>
      <c r="AD9" s="26" t="n">
        <f aca="false">COS($G$6*(23.4393-46.815*M9/3600))*AB9-SIN($G$6*(23.4393-46.815*M9/3600))*AC9</f>
        <v>-0.118972486286397</v>
      </c>
      <c r="AE9" s="26" t="n">
        <f aca="false">SIN($G$6*(23.4393-46.815*M9/3600))*AB9+COS($G$6*(23.4393-46.815*M9/3600))*AC9</f>
        <v>-0.130592819941396</v>
      </c>
      <c r="AF9" s="26" t="n">
        <f aca="false">SQRT(1-AE9*AE9)</f>
        <v>0.991436087390284</v>
      </c>
      <c r="AG9" s="10" t="n">
        <f aca="false">ATAN(AE9/AF9)/$G$6</f>
        <v>-7.50385044521463</v>
      </c>
      <c r="AH9" s="26" t="n">
        <f aca="false">IF(24*ATAN(AD9/(AA9+AF9))/PI()&gt;0,24*ATAN(AD9/(AA9+AF9))/PI(),24*ATAN(AD9/(AA9+AF9))/PI()+24)</f>
        <v>23.5405258900902</v>
      </c>
      <c r="AI9" s="10" t="n">
        <f aca="false">IF(N9-15*AH9&gt;0,N9-15*AH9,360+N9-15*AH9)</f>
        <v>23.5034245102014</v>
      </c>
      <c r="AJ9" s="18" t="n">
        <f aca="false">0.950724+0.051818*COS(Q9)+0.009531*COS(2*S9-Q9)+0.007843*COS(2*S9)+0.002824*COS(2*Q9)+0.000857*COS(2*S9+Q9)+0.000533*COS(2*S9-R9)+0.000401*COS(2*S9-R9-Q9)+0.00032*COS(Q9-R9)-0.000271*COS(S9)</f>
        <v>0.979148298925274</v>
      </c>
      <c r="AK9" s="50" t="n">
        <f aca="false">ASIN(COS($G$6*$G$2)*COS($G$6*AG9)*COS($G$6*AI9)+SIN($G$6*$G$2)*SIN($G$6*AG9))/$G$6</f>
        <v>62.6147565053519</v>
      </c>
      <c r="AL9" s="18" t="n">
        <f aca="false">ASIN((0.9983271+0.0016764*COS($G$6*2*$G$2))*COS($G$6*AK9)*SIN($G$6*AJ9))/$G$6</f>
        <v>0.450133691091333</v>
      </c>
      <c r="AM9" s="18" t="n">
        <f aca="false">AK9-AL9</f>
        <v>62.1646228142606</v>
      </c>
      <c r="AN9" s="10" t="n">
        <f aca="false"> IF(280.4664567 + 360007.6982779*M9/10 + 0.03032028*M9^2/100 + M9^3/49931000&lt;0,MOD(280.4664567 + 360007.6982779*M9/10 + 0.03032028*M9^2/100 + M9^3/49931000+360,360),MOD(280.4664567 + 360007.6982779*M9/10 + 0.03032028*M9^2/100 + M9^3/49931000,360))</f>
        <v>196.617095358637</v>
      </c>
      <c r="AO9" s="27" t="n">
        <f aca="false"> AN9 + (1.9146 - 0.004817*M9 - 0.000014*M9^2)*SIN(R9)+ (0.019993 - 0.000101*M9)*SIN(2*R9)+ 0.00029*SIN(3*R9)</f>
        <v>194.704740105056</v>
      </c>
      <c r="AP9" s="18" t="n">
        <f aca="false">ACOS(COS(X9-$G$6*AO9)*COS(Y9))/$G$6</f>
        <v>155.663494872101</v>
      </c>
      <c r="AQ9" s="25" t="n">
        <f aca="false">180 - AP9 -0.1468*(1-0.0549*SIN(R9))*SIN($G$6*AP9)/(1-0.0167*SIN($G$6*AO9))</f>
        <v>24.2729632062407</v>
      </c>
      <c r="AR9" s="25" t="n">
        <f aca="false">SIN($G$6*AI9)</f>
        <v>0.398803879956652</v>
      </c>
      <c r="AS9" s="25" t="n">
        <f aca="false">COS($G$6*AI9)*SIN($G$6*$G$2) - TAN($G$6*AG9)*COS($G$6*$G$2)</f>
        <v>-0.237064908504649</v>
      </c>
      <c r="AT9" s="25" t="n">
        <f aca="false">IF(OR(AND(AR9*AS9&gt;0), AND(AR9&lt;0,AS9&gt;0)), MOD(ATAN2(AS9,AR9)/$G$6+360,360),  ATAN2(AS9,AR9)/$G$6)</f>
        <v>120.728935812199</v>
      </c>
      <c r="AU9" s="18" t="n">
        <f aca="false">IF((X9-X8)/$G$6&lt;0,(X9-X8)/$G$6+360,(X9-X8)/$G$6)</f>
        <v>14.1073822314375</v>
      </c>
      <c r="AV9" s="29" t="n">
        <f aca="false">(1+SIN($G$6*H9)*SIN($G$6*AJ9))*120*ASIN(0.272481*SIN($G$6*AJ9))/$G$6</f>
        <v>32.4982534609132</v>
      </c>
      <c r="AW9" s="10" t="n">
        <f aca="false">COS(X9)</f>
        <v>0.986868899794936</v>
      </c>
      <c r="AX9" s="10" t="n">
        <f aca="false">SIN(X9)</f>
        <v>-0.161523294349557</v>
      </c>
      <c r="AY9" s="30" t="n">
        <f aca="false"> 385000.56 + (-20905355*COS(Q9) - 3699111*COS(2*S9-Q9) - 2955968*COS(2*S9) - 569925*COS(2*Q9) + (1-0.002516*M9)*48888*COS(R9) - 3149*COS(2*T9)  +246158*COS(2*S9-2*Q9) -(1-0.002516*M9)*152138*COS(2*S9-R9-Q9) -170733*COS(2*S9+Q9) -(1-0.002516*M9)*204586*COS(2*S9-R9) -(1-0.002516*M9)*129620*COS(R9-Q9)  + 108743*COS(S9) +(1-0.002516*M9)*104755*COS(R9+Q9) +10321*COS(2*S9-2*T9) +79661*COS(Q9-2*T9) -34782*COS(4*S9-Q9) -23210*COS(3*Q9)  -21636*COS(4*S9-2*Q9) +(1-0.002516*M9)*24208*COS(2*S9+R9-Q9) +(1-0.002516*M9)*30824*COS(2*S9+R9) -8379*COS(S9-Q9) -(1-0.002516*M9)*16675*COS(S9+R9)  -(1-0.002516*M9)*12831*COS(2*S9-R9+Q9) -10445*COS(2*S9+2*Q9) -11650*COS(4*S9) +14403*COS(2*S9-3*Q9) -(1-0.002516*M9)*7003*COS(R9-2*Q9)  + (1-0.002516*M9)*10056*COS(2*S9-R9-2*Q9) +6322*COS(S9+Q9) -(1-0.002516*M9)*(1-0.002516*M9)*9884*COS(2*S9-2*R9) +(1-0.002516*M9)*5751*COS(R9+2*Q9) -(1-0.002516*M9)*(1-0.002516*M9)*4950*COS(2*S9-2*R9-Q9)  +4130*COS(2*S9+Q9-2*T9) -(1-0.002516*M9)*3958*COS(4*S9-R9-Q9) +3258*COS(3*S9-Q9) +(1-0.002516*M9)*2616*COS(2*S9+R9+Q9) -(1-0.002516*M9)*1897*COS(4*S9-R9-2*Q9)  -(1-0.002516*M9)*(1-0.002516*M9)*2117*COS(2*R9-Q9) +(1-0.002516*M9)*(1-0.002516*M9)*2354*COS(2*S9+2*R9-Q9) -1423*COS(4*S9+Q9) -1117*COS(4*Q9) -(1-0.002516*M9)*1571*COS(4*S9-R9)  -1739*COS(S9-2*Q9) -4421*COS(2*Q9-2*T9) +(1-0.002516*M9)*(1-0.002516*M9)*1165*COS(2*R9+Q9) +8752*COS(2*S9-Q9-2*T9))/1000</f>
        <v>373337.568290348</v>
      </c>
      <c r="AZ9" s="17" t="n">
        <f aca="false">AZ8+1</f>
        <v>281</v>
      </c>
      <c r="BA9" s="17" t="n">
        <v>8</v>
      </c>
      <c r="BB9" s="32" t="n">
        <f aca="false">ATAN(0.99664719*TAN($G$6*input!$E$2))</f>
        <v>-0.400219206115995</v>
      </c>
      <c r="BC9" s="32" t="n">
        <f aca="false">COS(BB9)</f>
        <v>0.920975608992155</v>
      </c>
      <c r="BD9" s="32" t="n">
        <f aca="false">0.99664719*SIN(BB9)</f>
        <v>-0.388313912533463</v>
      </c>
      <c r="BE9" s="32" t="n">
        <f aca="false">6378.14/AY9</f>
        <v>0.0170841097755254</v>
      </c>
      <c r="BF9" s="33" t="n">
        <f aca="false">N9-15*AH9</f>
        <v>-336.496575489799</v>
      </c>
      <c r="BG9" s="27" t="n">
        <f aca="false">COS($G$6*AG9)*SIN($G$6*BF9)</f>
        <v>0.395388558380286</v>
      </c>
      <c r="BH9" s="27" t="n">
        <f aca="false">COS($G$6*AG9)*COS($G$6*BF9)-BC9*BE9</f>
        <v>0.893448773299433</v>
      </c>
      <c r="BI9" s="27" t="n">
        <f aca="false">SIN($G$6*AG9)-BD9*BE9</f>
        <v>-0.123958822432311</v>
      </c>
      <c r="BJ9" s="46" t="n">
        <f aca="false">SQRT(BG9^2+BH9^2+BI9^2)</f>
        <v>0.984859691665319</v>
      </c>
      <c r="BK9" s="35" t="n">
        <f aca="false">AY9*BJ9</f>
        <v>367685.122393512</v>
      </c>
      <c r="BL9" s="51" t="str">
        <f aca="false">IF(OR(AND(BK9&gt;BK8,BK9&gt;BK10),AND(BK9&lt;BK8,BK9&lt;BK10)),BK9,"")</f>
        <v/>
      </c>
    </row>
    <row r="10" customFormat="false" ht="15" hidden="false" customHeight="false" outlineLevel="0" collapsed="false">
      <c r="A10" s="20"/>
      <c r="B10" s="20"/>
      <c r="C10" s="20"/>
      <c r="D10" s="17" t="n">
        <v>9</v>
      </c>
      <c r="E10" s="17" t="n">
        <f aca="false">$E$2</f>
        <v>10</v>
      </c>
      <c r="F10" s="17" t="n">
        <f aca="false">$F$2</f>
        <v>2022</v>
      </c>
      <c r="H10" s="39" t="n">
        <f aca="false">AM10</f>
        <v>64.8286549587196</v>
      </c>
      <c r="I10" s="48" t="n">
        <f aca="false">H10+1.02/(TAN($G$6*(H10+10.3/(H10+5.11)))*60)</f>
        <v>64.8365908863673</v>
      </c>
      <c r="J10" s="39" t="n">
        <f aca="false">100*(1+COS($G$6*AQ10))/2</f>
        <v>98.9944690907124</v>
      </c>
      <c r="K10" s="48" t="n">
        <f aca="false">IF(AI10&gt;180,AT10-180,AT10+180)</f>
        <v>330.102094016074</v>
      </c>
      <c r="L10" s="10" t="n">
        <f aca="false">L9+1</f>
        <v>2459861.5</v>
      </c>
      <c r="M10" s="49" t="n">
        <f aca="false">(L10-2451545)/36525</f>
        <v>0.227693360711841</v>
      </c>
      <c r="N10" s="10" t="n">
        <f aca="false">MOD(280.46061837+360.98564736629*(L10-2451545)+0.000387933*M10^2-M10^3/38710000+$G$4,360)</f>
        <v>17.5969602321275</v>
      </c>
      <c r="O10" s="24" t="n">
        <f aca="false">0.60643382+1336.85522467*M10 - 0.00000313*M10^2 - INT(0.60643382+1336.85522467*M10 - 0.00000313*M10^2)</f>
        <v>0.999492548023284</v>
      </c>
      <c r="P10" s="10" t="n">
        <f aca="false">22640*SIN(Q10)-4586*SIN(Q10-2*S10)+2370*SIN(2*S10)+769*SIN(2*Q10)-668*SIN(R10)-412*SIN(2*T10)-212*SIN(2*Q10-2*S10)-206*SIN(Q10+R10-2*S10)+192*SIN(Q10+2*S10)-165*SIN(R10-2*S10)-125*SIN(S10)-110*SIN(Q10+R10)+148*SIN(Q10-R10)-55*SIN(2*T10-2*S10)</f>
        <v>17293.5068571333</v>
      </c>
      <c r="Q10" s="18" t="n">
        <f aca="false">2*PI()*(0.374897+1325.55241*M10 - INT(0.374897+1325.55241*M10))</f>
        <v>1.22132576471824</v>
      </c>
      <c r="R10" s="26" t="n">
        <f aca="false">2*PI()*(0.993133+99.997361*M10 - INT(0.993133+99.997361*M10))</f>
        <v>4.7869590073951</v>
      </c>
      <c r="S10" s="26" t="n">
        <f aca="false">2*PI()*(0.827361+1236.853086*M10 - INT(0.827361+1236.853086*M10))</f>
        <v>2.83118355860182</v>
      </c>
      <c r="T10" s="26" t="n">
        <f aca="false">2*PI()*(0.259086+1342.227825*M10 - INT(0.259086+1342.227825*M10))</f>
        <v>5.50061655759965</v>
      </c>
      <c r="U10" s="26" t="n">
        <f aca="false">T10+(P10+412*SIN(2*T10)+541*SIN(R10))/206264.8062</f>
        <v>5.57984489143057</v>
      </c>
      <c r="V10" s="26" t="n">
        <f aca="false">T10-2*S10</f>
        <v>-0.161750559603988</v>
      </c>
      <c r="W10" s="25" t="n">
        <f aca="false">-526*SIN(V10)+44*SIN(Q10+V10)-31*SIN(-Q10+V10)-23*SIN(R10+V10)+11*SIN(-R10+V10)-25*SIN(-2*Q10+T10)+21*SIN(-Q10+T10)</f>
        <v>165.997776998956</v>
      </c>
      <c r="X10" s="26" t="n">
        <f aca="false">2*PI()*(O10+P10/1296000-INT(O10+P10/1296000))</f>
        <v>0.0806528723827944</v>
      </c>
      <c r="Y10" s="26" t="n">
        <f aca="false">(18520*SIN(U10)+W10)/206264.8062</f>
        <v>-0.057266985748858</v>
      </c>
      <c r="Z10" s="26" t="n">
        <f aca="false">Y10*180/PI()</f>
        <v>-3.2811565888454</v>
      </c>
      <c r="AA10" s="26" t="n">
        <f aca="false">COS(Y10)*COS(X10)</f>
        <v>0.995115342883626</v>
      </c>
      <c r="AB10" s="26" t="n">
        <f aca="false">COS(Y10)*SIN(X10)</f>
        <v>0.0804333897731859</v>
      </c>
      <c r="AC10" s="26" t="n">
        <f aca="false">SIN(Y10)</f>
        <v>-0.0572356896280517</v>
      </c>
      <c r="AD10" s="26" t="n">
        <f aca="false">COS($G$6*(23.4393-46.815*M10/3600))*AB10-SIN($G$6*(23.4393-46.815*M10/3600))*AC10</f>
        <v>0.0965621848531071</v>
      </c>
      <c r="AE10" s="26" t="n">
        <f aca="false">SIN($G$6*(23.4393-46.815*M10/3600))*AB10+COS($G$6*(23.4393-46.815*M10/3600))*AC10</f>
        <v>-0.0205231287575332</v>
      </c>
      <c r="AF10" s="26" t="n">
        <f aca="false">SQRT(1-AE10*AE10)</f>
        <v>0.999789378412274</v>
      </c>
      <c r="AG10" s="10" t="n">
        <f aca="false">ATAN(AE10/AF10)/$G$6</f>
        <v>-1.1759712230116</v>
      </c>
      <c r="AH10" s="26" t="n">
        <f aca="false">IF(24*ATAN(AD10/(AA10+AF10))/PI()&gt;0,24*ATAN(AD10/(AA10+AF10))/PI(),24*ATAN(AD10/(AA10+AF10))/PI()+24)</f>
        <v>0.369494056002695</v>
      </c>
      <c r="AI10" s="10" t="n">
        <f aca="false">IF(N10-15*AH10&gt;0,N10-15*AH10,360+N10-15*AH10)</f>
        <v>12.054549392087</v>
      </c>
      <c r="AJ10" s="18" t="n">
        <f aca="false">0.950724+0.051818*COS(Q10)+0.009531*COS(2*S10-Q10)+0.007843*COS(2*S10)+0.002824*COS(2*Q10)+0.000857*COS(2*S10+Q10)+0.000533*COS(2*S10-R10)+0.000401*COS(2*S10-R10-Q10)+0.00032*COS(Q10-R10)-0.000271*COS(S10)</f>
        <v>0.971521777203844</v>
      </c>
      <c r="AK10" s="50" t="n">
        <f aca="false">ASIN(COS($G$6*$G$2)*COS($G$6*AG10)*COS($G$6*AI10)+SIN($G$6*$G$2)*SIN($G$6*AG10))/$G$6</f>
        <v>65.2353939480926</v>
      </c>
      <c r="AL10" s="18" t="n">
        <f aca="false">ASIN((0.9983271+0.0016764*COS($G$6*2*$G$2))*COS($G$6*AK10)*SIN($G$6*AJ10))/$G$6</f>
        <v>0.406738989372996</v>
      </c>
      <c r="AM10" s="18" t="n">
        <f aca="false">AK10-AL10</f>
        <v>64.8286549587196</v>
      </c>
      <c r="AN10" s="10" t="n">
        <f aca="false"> IF(280.4664567 + 360007.6982779*M10/10 + 0.03032028*M10^2/100 + M10^3/49931000&lt;0,MOD(280.4664567 + 360007.6982779*M10/10 + 0.03032028*M10^2/100 + M10^3/49931000+360,360),MOD(280.4664567 + 360007.6982779*M10/10 + 0.03032028*M10^2/100 + M10^3/49931000,360))</f>
        <v>197.60274272252</v>
      </c>
      <c r="AO10" s="27" t="n">
        <f aca="false"> AN10 + (1.9146 - 0.004817*M10 - 0.000014*M10^2)*SIN(R10)+ (0.019993 - 0.000101*M10)*SIN(2*R10)+ 0.00029*SIN(3*R10)</f>
        <v>195.691873453355</v>
      </c>
      <c r="AP10" s="18" t="n">
        <f aca="false">ACOS(COS(X10-$G$6*AO10)*COS(Y10))/$G$6</f>
        <v>168.459014340628</v>
      </c>
      <c r="AQ10" s="25" t="n">
        <f aca="false">180 - AP10 -0.1468*(1-0.0549*SIN(R10))*SIN($G$6*AP10)/(1-0.0167*SIN($G$6*AO10))</f>
        <v>11.5101469040103</v>
      </c>
      <c r="AR10" s="25" t="n">
        <f aca="false">SIN($G$6*AI10)</f>
        <v>0.20884285800798</v>
      </c>
      <c r="AS10" s="25" t="n">
        <f aca="false">COS($G$6*AI10)*SIN($G$6*$G$2) - TAN($G$6*AG10)*COS($G$6*$G$2)</f>
        <v>-0.36321957963691</v>
      </c>
      <c r="AT10" s="25" t="n">
        <f aca="false">IF(OR(AND(AR10*AS10&gt;0), AND(AR10&lt;0,AS10&gt;0)), MOD(ATAN2(AS10,AR10)/$G$6+360,360),  ATAN2(AS10,AR10)/$G$6)</f>
        <v>150.102094016074</v>
      </c>
      <c r="AU10" s="18" t="n">
        <f aca="false">IF((X10-X9)/$G$6&lt;0,(X10-X9)/$G$6+360,(X10-X9)/$G$6)</f>
        <v>13.9163939278177</v>
      </c>
      <c r="AV10" s="29" t="n">
        <f aca="false">(1+SIN($G$6*H10)*SIN($G$6*AJ10))*120*ASIN(0.272481*SIN($G$6*AJ10))/$G$6</f>
        <v>32.2525850216811</v>
      </c>
      <c r="AW10" s="10" t="n">
        <f aca="false">COS(X10)</f>
        <v>0.996749319770112</v>
      </c>
      <c r="AX10" s="10" t="n">
        <f aca="false">SIN(X10)</f>
        <v>0.0805654611965952</v>
      </c>
      <c r="AY10" s="30" t="n">
        <f aca="false"> 385000.56 + (-20905355*COS(Q10) - 3699111*COS(2*S10-Q10) - 2955968*COS(2*S10) - 569925*COS(2*Q10) + (1-0.002516*M10)*48888*COS(R10) - 3149*COS(2*T10)  +246158*COS(2*S10-2*Q10) -(1-0.002516*M10)*152138*COS(2*S10-R10-Q10) -170733*COS(2*S10+Q10) -(1-0.002516*M10)*204586*COS(2*S10-R10) -(1-0.002516*M10)*129620*COS(R10-Q10)  + 108743*COS(S10) +(1-0.002516*M10)*104755*COS(R10+Q10) +10321*COS(2*S10-2*T10) +79661*COS(Q10-2*T10) -34782*COS(4*S10-Q10) -23210*COS(3*Q10)  -21636*COS(4*S10-2*Q10) +(1-0.002516*M10)*24208*COS(2*S10+R10-Q10) +(1-0.002516*M10)*30824*COS(2*S10+R10) -8379*COS(S10-Q10) -(1-0.002516*M10)*16675*COS(S10+R10)  -(1-0.002516*M10)*12831*COS(2*S10-R10+Q10) -10445*COS(2*S10+2*Q10) -11650*COS(4*S10) +14403*COS(2*S10-3*Q10) -(1-0.002516*M10)*7003*COS(R10-2*Q10)  + (1-0.002516*M10)*10056*COS(2*S10-R10-2*Q10) +6322*COS(S10+Q10) -(1-0.002516*M10)*(1-0.002516*M10)*9884*COS(2*S10-2*R10) +(1-0.002516*M10)*5751*COS(R10+2*Q10) -(1-0.002516*M10)*(1-0.002516*M10)*4950*COS(2*S10-2*R10-Q10)  +4130*COS(2*S10+Q10-2*T10) -(1-0.002516*M10)*3958*COS(4*S10-R10-Q10) +3258*COS(3*S10-Q10) +(1-0.002516*M10)*2616*COS(2*S10+R10+Q10) -(1-0.002516*M10)*1897*COS(4*S10-R10-2*Q10)  -(1-0.002516*M10)*(1-0.002516*M10)*2117*COS(2*R10-Q10) +(1-0.002516*M10)*(1-0.002516*M10)*2354*COS(2*S10+2*R10-Q10) -1423*COS(4*S10+Q10) -1117*COS(4*Q10) -(1-0.002516*M10)*1571*COS(4*S10-R10)  -1739*COS(S10-2*Q10) -4421*COS(2*Q10-2*T10) +(1-0.002516*M10)*(1-0.002516*M10)*1165*COS(2*R10+Q10) +8752*COS(2*S10-Q10-2*T10))/1000</f>
        <v>376294.646632273</v>
      </c>
      <c r="AZ10" s="17" t="n">
        <f aca="false">AZ9+1</f>
        <v>282</v>
      </c>
      <c r="BA10" s="17" t="n">
        <v>9</v>
      </c>
      <c r="BB10" s="32" t="n">
        <f aca="false">ATAN(0.99664719*TAN($G$6*input!$E$2))</f>
        <v>-0.400219206115995</v>
      </c>
      <c r="BC10" s="32" t="n">
        <f aca="false">COS(BB10)</f>
        <v>0.920975608992155</v>
      </c>
      <c r="BD10" s="32" t="n">
        <f aca="false">0.99664719*SIN(BB10)</f>
        <v>-0.388313912533463</v>
      </c>
      <c r="BE10" s="32" t="n">
        <f aca="false">6378.14/AY10</f>
        <v>0.0169498558033777</v>
      </c>
      <c r="BF10" s="33" t="n">
        <f aca="false">N10-15*AH10</f>
        <v>12.054549392087</v>
      </c>
      <c r="BG10" s="27" t="n">
        <f aca="false">COS($G$6*AG10)*SIN($G$6*BF10)</f>
        <v>0.208798871193642</v>
      </c>
      <c r="BH10" s="27" t="n">
        <f aca="false">COS($G$6*AG10)*COS($G$6*BF10)-BC10*BE10</f>
        <v>0.962132830710613</v>
      </c>
      <c r="BI10" s="27" t="n">
        <f aca="false">SIN($G$6*AG10)-BD10*BE10</f>
        <v>-0.0139412639336456</v>
      </c>
      <c r="BJ10" s="46" t="n">
        <f aca="false">SQRT(BG10^2+BH10^2+BI10^2)</f>
        <v>0.984627295672339</v>
      </c>
      <c r="BK10" s="35" t="n">
        <f aca="false">AY10*BJ10</f>
        <v>370509.980289514</v>
      </c>
      <c r="BL10" s="51" t="str">
        <f aca="false">IF(OR(AND(BK10&gt;BK9,BK10&gt;BK11),AND(BK10&lt;BK9,BK10&lt;BK11)),BK10,"")</f>
        <v/>
      </c>
    </row>
    <row r="11" customFormat="false" ht="15" hidden="false" customHeight="false" outlineLevel="0" collapsed="false">
      <c r="A11" s="20"/>
      <c r="B11" s="20"/>
      <c r="C11" s="20"/>
      <c r="D11" s="17" t="n">
        <v>10</v>
      </c>
      <c r="E11" s="17" t="n">
        <f aca="false">$E$2</f>
        <v>10</v>
      </c>
      <c r="F11" s="17" t="n">
        <f aca="false">$F$2</f>
        <v>2022</v>
      </c>
      <c r="G11" s="13" t="s">
        <v>76</v>
      </c>
      <c r="H11" s="39" t="n">
        <f aca="false">AM11</f>
        <v>61.4313803570609</v>
      </c>
      <c r="I11" s="48" t="n">
        <f aca="false">H11+1.02/(TAN($G$6*(H11+10.3/(H11+5.11)))*60)</f>
        <v>61.4405775260854</v>
      </c>
      <c r="J11" s="39" t="n">
        <f aca="false">100*(1+COS($G$6*AQ11))/2</f>
        <v>99.943025191732</v>
      </c>
      <c r="K11" s="48" t="n">
        <f aca="false">IF(AI11&gt;180,AT11-180,AT11+180)</f>
        <v>358.155983579246</v>
      </c>
      <c r="L11" s="10" t="n">
        <f aca="false">L10+1</f>
        <v>2459862.5</v>
      </c>
      <c r="M11" s="49" t="n">
        <f aca="false">(L11-2451545)/36525</f>
        <v>0.227720739219713</v>
      </c>
      <c r="N11" s="10" t="n">
        <f aca="false">MOD(280.46061837+360.98564736629*(L11-2451545)+0.000387933*M11^2-M11^3/38710000+$G$4,360)</f>
        <v>18.5826076036319</v>
      </c>
      <c r="O11" s="24" t="n">
        <f aca="false">0.60643382+1336.85522467*M11 - 0.00000313*M11^2 - INT(0.60643382+1336.85522467*M11 - 0.00000313*M11^2)</f>
        <v>0.0360936492756991</v>
      </c>
      <c r="P11" s="10" t="n">
        <f aca="false">22640*SIN(Q11)-4586*SIN(Q11-2*S11)+2370*SIN(2*S11)+769*SIN(2*Q11)-668*SIN(R11)-412*SIN(2*T11)-212*SIN(2*Q11-2*S11)-206*SIN(Q11+R11-2*S11)+192*SIN(Q11+2*S11)-165*SIN(R11-2*S11)-125*SIN(S11)-110*SIN(Q11+R11)+148*SIN(Q11-R11)-55*SIN(2*T11-2*S11)</f>
        <v>19020.2093586371</v>
      </c>
      <c r="Q11" s="18" t="n">
        <f aca="false">2*PI()*(0.374897+1325.55241*M11 - INT(0.374897+1325.55241*M11))</f>
        <v>1.44935290849406</v>
      </c>
      <c r="R11" s="26" t="n">
        <f aca="false">2*PI()*(0.993133+99.997361*M11 - INT(0.993133+99.997361*M11))</f>
        <v>4.80416097726208</v>
      </c>
      <c r="S11" s="26" t="n">
        <f aca="false">2*PI()*(0.827361+1236.853086*M11 - INT(0.827361+1236.853086*M11))</f>
        <v>3.04395226872084</v>
      </c>
      <c r="T11" s="26" t="n">
        <f aca="false">2*PI()*(0.259086+1342.227825*M11 - INT(0.259086+1342.227825*M11))</f>
        <v>5.7315122769403</v>
      </c>
      <c r="U11" s="26" t="n">
        <f aca="false">T11+(P11+412*SIN(2*T11)+541*SIN(R11))/206264.8062</f>
        <v>5.81932990118227</v>
      </c>
      <c r="V11" s="26" t="n">
        <f aca="false">T11-2*S11</f>
        <v>-0.35639226050139</v>
      </c>
      <c r="W11" s="25" t="n">
        <f aca="false">-526*SIN(V11)+44*SIN(Q11+V11)-31*SIN(-Q11+V11)-23*SIN(R11+V11)+11*SIN(-R11+V11)-25*SIN(-2*Q11+T11)+21*SIN(-Q11+T11)</f>
        <v>258.16826113183</v>
      </c>
      <c r="X11" s="26" t="n">
        <f aca="false">2*PI()*(O11+P11/1296000-INT(O11+P11/1296000))</f>
        <v>0.318995663957915</v>
      </c>
      <c r="Y11" s="26" t="n">
        <f aca="false">(18520*SIN(U11)+W11)/206264.8062</f>
        <v>-0.0389192398379446</v>
      </c>
      <c r="Z11" s="26" t="n">
        <f aca="false">Y11*180/PI()</f>
        <v>-2.22990818457164</v>
      </c>
      <c r="AA11" s="26" t="n">
        <f aca="false">COS(Y11)*COS(X11)</f>
        <v>0.948831814807621</v>
      </c>
      <c r="AB11" s="26" t="n">
        <f aca="false">COS(Y11)*SIN(X11)</f>
        <v>0.313375564784819</v>
      </c>
      <c r="AC11" s="26" t="n">
        <f aca="false">SIN(Y11)</f>
        <v>-0.0389094153730416</v>
      </c>
      <c r="AD11" s="26" t="n">
        <f aca="false">COS($G$6*(23.4393-46.815*M11/3600))*AB11-SIN($G$6*(23.4393-46.815*M11/3600))*AC11</f>
        <v>0.302998319379151</v>
      </c>
      <c r="AE11" s="26" t="n">
        <f aca="false">SIN($G$6*(23.4393-46.815*M11/3600))*AB11+COS($G$6*(23.4393-46.815*M11/3600))*AC11</f>
        <v>0.0889393369791239</v>
      </c>
      <c r="AF11" s="26" t="n">
        <f aca="false">SQRT(1-AE11*AE11)</f>
        <v>0.996037044661349</v>
      </c>
      <c r="AG11" s="10" t="n">
        <f aca="false">ATAN(AE11/AF11)/$G$6</f>
        <v>5.10259087066115</v>
      </c>
      <c r="AH11" s="26" t="n">
        <f aca="false">IF(24*ATAN(AD11/(AA11+AF11))/PI()&gt;0,24*ATAN(AD11/(AA11+AF11))/PI(),24*ATAN(AD11/(AA11+AF11))/PI()+24)</f>
        <v>1.18068486541347</v>
      </c>
      <c r="AI11" s="10" t="n">
        <f aca="false">IF(N11-15*AH11&gt;0,N11-15*AH11,360+N11-15*AH11)</f>
        <v>0.872334622429865</v>
      </c>
      <c r="AJ11" s="18" t="n">
        <f aca="false">0.950724+0.051818*COS(Q11)+0.009531*COS(2*S11-Q11)+0.007843*COS(2*S11)+0.002824*COS(2*Q11)+0.000857*COS(2*S11+Q11)+0.000533*COS(2*S11-R11)+0.000401*COS(2*S11-R11-Q11)+0.00032*COS(Q11-R11)-0.000271*COS(S11)</f>
        <v>0.962021506877408</v>
      </c>
      <c r="AK11" s="50" t="n">
        <f aca="false">ASIN(COS($G$6*$G$2)*COS($G$6*AG11)*COS($G$6*AI11)+SIN($G$6*$G$2)*SIN($G$6*AG11))/$G$6</f>
        <v>61.8844866324445</v>
      </c>
      <c r="AL11" s="18" t="n">
        <f aca="false">ASIN((0.9983271+0.0016764*COS($G$6*2*$G$2))*COS($G$6*AK11)*SIN($G$6*AJ11))/$G$6</f>
        <v>0.45310627538363</v>
      </c>
      <c r="AM11" s="18" t="n">
        <f aca="false">AK11-AL11</f>
        <v>61.4313803570609</v>
      </c>
      <c r="AN11" s="10" t="n">
        <f aca="false"> IF(280.4664567 + 360007.6982779*M11/10 + 0.03032028*M11^2/100 + M11^3/49931000&lt;0,MOD(280.4664567 + 360007.6982779*M11/10 + 0.03032028*M11^2/100 + M11^3/49931000+360,360),MOD(280.4664567 + 360007.6982779*M11/10 + 0.03032028*M11^2/100 + M11^3/49931000,360))</f>
        <v>198.588390086406</v>
      </c>
      <c r="AO11" s="27" t="n">
        <f aca="false"> AN11 + (1.9146 - 0.004817*M11 - 0.000014*M11^2)*SIN(R11)+ (0.019993 - 0.000101*M11)*SIN(2*R11)+ 0.00029*SIN(3*R11)</f>
        <v>196.679574193203</v>
      </c>
      <c r="AP11" s="18" t="n">
        <f aca="false">ACOS(COS(X11-$G$6*AO11)*COS(Y11))/$G$6</f>
        <v>177.257135228102</v>
      </c>
      <c r="AQ11" s="25" t="n">
        <f aca="false">180 - AP11 -0.1468*(1-0.0549*SIN(R11))*SIN($G$6*AP11)/(1-0.0167*SIN($G$6*AO11))</f>
        <v>2.73549114087021</v>
      </c>
      <c r="AR11" s="25" t="n">
        <f aca="false">SIN($G$6*AI11)</f>
        <v>0.0152245231403697</v>
      </c>
      <c r="AS11" s="25" t="n">
        <f aca="false">COS($G$6*AI11)*SIN($G$6*$G$2) - TAN($G$6*AG11)*COS($G$6*$G$2)</f>
        <v>-0.472880668617561</v>
      </c>
      <c r="AT11" s="25" t="n">
        <f aca="false">IF(OR(AND(AR11*AS11&gt;0), AND(AR11&lt;0,AS11&gt;0)), MOD(ATAN2(AS11,AR11)/$G$6+360,360),  ATAN2(AS11,AR11)/$G$6)</f>
        <v>178.155983579246</v>
      </c>
      <c r="AU11" s="18" t="n">
        <f aca="false">IF((X11-X10)/$G$6&lt;0,(X11-X10)/$G$6+360,(X11-X10)/$G$6)</f>
        <v>13.6560360346206</v>
      </c>
      <c r="AV11" s="29" t="n">
        <f aca="false">(1+SIN($G$6*H11)*SIN($G$6*AJ11))*120*ASIN(0.272481*SIN($G$6*AJ11))/$G$6</f>
        <v>31.9183523421782</v>
      </c>
      <c r="AW11" s="10" t="n">
        <f aca="false">COS(X11)</f>
        <v>0.949550869821273</v>
      </c>
      <c r="AX11" s="10" t="n">
        <f aca="false">SIN(X11)</f>
        <v>0.313613050783389</v>
      </c>
      <c r="AY11" s="30" t="n">
        <f aca="false"> 385000.56 + (-20905355*COS(Q11) - 3699111*COS(2*S11-Q11) - 2955968*COS(2*S11) - 569925*COS(2*Q11) + (1-0.002516*M11)*48888*COS(R11) - 3149*COS(2*T11)  +246158*COS(2*S11-2*Q11) -(1-0.002516*M11)*152138*COS(2*S11-R11-Q11) -170733*COS(2*S11+Q11) -(1-0.002516*M11)*204586*COS(2*S11-R11) -(1-0.002516*M11)*129620*COS(R11-Q11)  + 108743*COS(S11) +(1-0.002516*M11)*104755*COS(R11+Q11) +10321*COS(2*S11-2*T11) +79661*COS(Q11-2*T11) -34782*COS(4*S11-Q11) -23210*COS(3*Q11)  -21636*COS(4*S11-2*Q11) +(1-0.002516*M11)*24208*COS(2*S11+R11-Q11) +(1-0.002516*M11)*30824*COS(2*S11+R11) -8379*COS(S11-Q11) -(1-0.002516*M11)*16675*COS(S11+R11)  -(1-0.002516*M11)*12831*COS(2*S11-R11+Q11) -10445*COS(2*S11+2*Q11) -11650*COS(4*S11) +14403*COS(2*S11-3*Q11) -(1-0.002516*M11)*7003*COS(R11-2*Q11)  + (1-0.002516*M11)*10056*COS(2*S11-R11-2*Q11) +6322*COS(S11+Q11) -(1-0.002516*M11)*(1-0.002516*M11)*9884*COS(2*S11-2*R11) +(1-0.002516*M11)*5751*COS(R11+2*Q11) -(1-0.002516*M11)*(1-0.002516*M11)*4950*COS(2*S11-2*R11-Q11)  +4130*COS(2*S11+Q11-2*T11) -(1-0.002516*M11)*3958*COS(4*S11-R11-Q11) +3258*COS(3*S11-Q11) +(1-0.002516*M11)*2616*COS(2*S11+R11+Q11) -(1-0.002516*M11)*1897*COS(4*S11-R11-2*Q11)  -(1-0.002516*M11)*(1-0.002516*M11)*2117*COS(2*R11-Q11) +(1-0.002516*M11)*(1-0.002516*M11)*2354*COS(2*S11+2*R11-Q11) -1423*COS(4*S11+Q11) -1117*COS(4*Q11) -(1-0.002516*M11)*1571*COS(4*S11-R11)  -1739*COS(S11-2*Q11) -4421*COS(2*Q11-2*T11) +(1-0.002516*M11)*(1-0.002516*M11)*1165*COS(2*R11+Q11) +8752*COS(2*S11-Q11-2*T11))/1000</f>
        <v>379986.128348195</v>
      </c>
      <c r="AZ11" s="17" t="n">
        <f aca="false">AZ10+1</f>
        <v>283</v>
      </c>
      <c r="BA11" s="17" t="n">
        <v>10</v>
      </c>
      <c r="BB11" s="32" t="n">
        <f aca="false">ATAN(0.99664719*TAN($G$6*input!$E$2))</f>
        <v>-0.400219206115995</v>
      </c>
      <c r="BC11" s="32" t="n">
        <f aca="false">COS(BB11)</f>
        <v>0.920975608992155</v>
      </c>
      <c r="BD11" s="32" t="n">
        <f aca="false">0.99664719*SIN(BB11)</f>
        <v>-0.388313912533463</v>
      </c>
      <c r="BE11" s="32" t="n">
        <f aca="false">6378.14/AY11</f>
        <v>0.0167851916798275</v>
      </c>
      <c r="BF11" s="33" t="n">
        <f aca="false">N11-15*AH11</f>
        <v>0.872334622429865</v>
      </c>
      <c r="BG11" s="27" t="n">
        <f aca="false">COS($G$6*AG11)*SIN($G$6*BF11)</f>
        <v>0.0151641890351121</v>
      </c>
      <c r="BH11" s="27" t="n">
        <f aca="false">COS($G$6*AG11)*COS($G$6*BF11)-BC11*BE11</f>
        <v>0.980462852068773</v>
      </c>
      <c r="BI11" s="27" t="n">
        <f aca="false">SIN($G$6*AG11)-BD11*BE11</f>
        <v>0.0954572604329419</v>
      </c>
      <c r="BJ11" s="46" t="n">
        <f aca="false">SQRT(BG11^2+BH11^2+BI11^2)</f>
        <v>0.985215431002422</v>
      </c>
      <c r="BK11" s="35" t="n">
        <f aca="false">AY11*BJ11</f>
        <v>374368.197215509</v>
      </c>
      <c r="BL11" s="51" t="str">
        <f aca="false">IF(OR(AND(BK11&gt;BK10,BK11&gt;BK12),AND(BK11&lt;BK10,BK11&lt;BK12)),BK11,"")</f>
        <v/>
      </c>
    </row>
    <row r="12" customFormat="false" ht="15" hidden="false" customHeight="false" outlineLevel="0" collapsed="false">
      <c r="A12" s="20"/>
      <c r="B12" s="20"/>
      <c r="C12" s="20"/>
      <c r="D12" s="17" t="n">
        <v>11</v>
      </c>
      <c r="E12" s="17" t="n">
        <f aca="false">$E$2</f>
        <v>10</v>
      </c>
      <c r="F12" s="17" t="n">
        <f aca="false">$F$2</f>
        <v>2022</v>
      </c>
      <c r="H12" s="39" t="n">
        <f aca="false">AM12</f>
        <v>53.9650846843211</v>
      </c>
      <c r="I12" s="48" t="n">
        <f aca="false">H12+1.02/(TAN($G$6*(H12+10.3/(H12+5.11)))*60)</f>
        <v>53.9773728073346</v>
      </c>
      <c r="J12" s="39" t="n">
        <f aca="false">100*(1+COS($G$6*AQ12))/2</f>
        <v>98.523725040842</v>
      </c>
      <c r="K12" s="48" t="n">
        <f aca="false">IF(AI12&gt;180,AT12-180,AT12+180)</f>
        <v>17.5553912850312</v>
      </c>
      <c r="L12" s="10" t="n">
        <f aca="false">L11+1</f>
        <v>2459863.5</v>
      </c>
      <c r="M12" s="49" t="n">
        <f aca="false">(L12-2451545)/36525</f>
        <v>0.227748117727584</v>
      </c>
      <c r="N12" s="10" t="n">
        <f aca="false">MOD(280.46061837+360.98564736629*(L12-2451545)+0.000387933*M12^2-M12^3/38710000+$G$4,360)</f>
        <v>19.5682549746707</v>
      </c>
      <c r="O12" s="24" t="n">
        <f aca="false">0.60643382+1336.85522467*M12 - 0.00000313*M12^2 - INT(0.60643382+1336.85522467*M12 - 0.00000313*M12^2)</f>
        <v>0.0726947505281714</v>
      </c>
      <c r="P12" s="10" t="n">
        <f aca="false">22640*SIN(Q12)-4586*SIN(Q12-2*S12)+2370*SIN(2*S12)+769*SIN(2*Q12)-668*SIN(R12)-412*SIN(2*T12)-212*SIN(2*Q12-2*S12)-206*SIN(Q12+R12-2*S12)+192*SIN(Q12+2*S12)-165*SIN(R12-2*S12)-125*SIN(S12)-110*SIN(Q12+R12)+148*SIN(Q12-R12)-55*SIN(2*T12-2*S12)</f>
        <v>19627.0501219446</v>
      </c>
      <c r="Q12" s="18" t="n">
        <f aca="false">2*PI()*(0.374897+1325.55241*M12 - INT(0.374897+1325.55241*M12))</f>
        <v>1.67738005226988</v>
      </c>
      <c r="R12" s="26" t="n">
        <f aca="false">2*PI()*(0.993133+99.997361*M12 - INT(0.993133+99.997361*M12))</f>
        <v>4.82136294712909</v>
      </c>
      <c r="S12" s="26" t="n">
        <f aca="false">2*PI()*(0.827361+1236.853086*M12 - INT(0.827361+1236.853086*M12))</f>
        <v>3.25672097883951</v>
      </c>
      <c r="T12" s="26" t="n">
        <f aca="false">2*PI()*(0.259086+1342.227825*M12 - INT(0.259086+1342.227825*M12))</f>
        <v>5.9624079962813</v>
      </c>
      <c r="U12" s="26" t="n">
        <f aca="false">T12+(P12+412*SIN(2*T12)+541*SIN(R12))/206264.8062</f>
        <v>6.05375998985196</v>
      </c>
      <c r="V12" s="26" t="n">
        <f aca="false">T12-2*S12</f>
        <v>-0.551033961397719</v>
      </c>
      <c r="W12" s="25" t="n">
        <f aca="false">-526*SIN(V12)+44*SIN(Q12+V12)-31*SIN(-Q12+V12)-23*SIN(R12+V12)+11*SIN(-R12+V12)-25*SIN(-2*Q12+T12)+21*SIN(-Q12+T12)</f>
        <v>337.301521313418</v>
      </c>
      <c r="X12" s="26" t="n">
        <f aca="false">2*PI()*(O12+P12/1296000-INT(O12+P12/1296000))</f>
        <v>0.551909212617106</v>
      </c>
      <c r="Y12" s="26" t="n">
        <f aca="false">(18520*SIN(U12)+W12)/206264.8062</f>
        <v>-0.018784002651795</v>
      </c>
      <c r="Z12" s="26" t="n">
        <f aca="false">Y12*180/PI()</f>
        <v>-1.0762440743104</v>
      </c>
      <c r="AA12" s="26" t="n">
        <f aca="false">COS(Y12)*COS(X12)</f>
        <v>0.851374826746381</v>
      </c>
      <c r="AB12" s="26" t="n">
        <f aca="false">COS(Y12)*SIN(X12)</f>
        <v>0.524221429477459</v>
      </c>
      <c r="AC12" s="26" t="n">
        <f aca="false">SIN(Y12)</f>
        <v>-0.0187828980505956</v>
      </c>
      <c r="AD12" s="26" t="n">
        <f aca="false">COS($G$6*(23.4393-46.815*M12/3600))*AB12-SIN($G$6*(23.4393-46.815*M12/3600))*AC12</f>
        <v>0.488445023522359</v>
      </c>
      <c r="AE12" s="26" t="n">
        <f aca="false">SIN($G$6*(23.4393-46.815*M12/3600))*AB12+COS($G$6*(23.4393-46.815*M12/3600))*AC12</f>
        <v>0.191265165094984</v>
      </c>
      <c r="AF12" s="26" t="n">
        <f aca="false">SQRT(1-AE12*AE12)</f>
        <v>0.981538403029239</v>
      </c>
      <c r="AG12" s="10" t="n">
        <f aca="false">ATAN(AE12/AF12)/$G$6</f>
        <v>11.0266269939916</v>
      </c>
      <c r="AH12" s="26" t="n">
        <f aca="false">IF(24*ATAN(AD12/(AA12+AF12))/PI()&gt;0,24*ATAN(AD12/(AA12+AF12))/PI(),24*ATAN(AD12/(AA12+AF12))/PI()+24)</f>
        <v>1.98956431438432</v>
      </c>
      <c r="AI12" s="10" t="n">
        <f aca="false">IF(N12-15*AH12&gt;0,N12-15*AH12,360+N12-15*AH12)</f>
        <v>349.724790258906</v>
      </c>
      <c r="AJ12" s="18" t="n">
        <f aca="false">0.950724+0.051818*COS(Q12)+0.009531*COS(2*S12-Q12)+0.007843*COS(2*S12)+0.002824*COS(2*Q12)+0.000857*COS(2*S12+Q12)+0.000533*COS(2*S12-R12)+0.000401*COS(2*S12-R12-Q12)+0.00032*COS(Q12-R12)-0.000271*COS(S12)</f>
        <v>0.951265579269391</v>
      </c>
      <c r="AK12" s="50" t="n">
        <f aca="false">ASIN(COS($G$6*$G$2)*COS($G$6*AG12)*COS($G$6*AI12)+SIN($G$6*$G$2)*SIN($G$6*AG12))/$G$6</f>
        <v>54.5169606129616</v>
      </c>
      <c r="AL12" s="18" t="n">
        <f aca="false">ASIN((0.9983271+0.0016764*COS($G$6*2*$G$2))*COS($G$6*AK12)*SIN($G$6*AJ12))/$G$6</f>
        <v>0.551875928640499</v>
      </c>
      <c r="AM12" s="18" t="n">
        <f aca="false">AK12-AL12</f>
        <v>53.9650846843211</v>
      </c>
      <c r="AN12" s="10" t="n">
        <f aca="false"> IF(280.4664567 + 360007.6982779*M12/10 + 0.03032028*M12^2/100 + M12^3/49931000&lt;0,MOD(280.4664567 + 360007.6982779*M12/10 + 0.03032028*M12^2/100 + M12^3/49931000+360,360),MOD(280.4664567 + 360007.6982779*M12/10 + 0.03032028*M12^2/100 + M12^3/49931000,360))</f>
        <v>199.574037450289</v>
      </c>
      <c r="AO12" s="27" t="n">
        <f aca="false"> AN12 + (1.9146 - 0.004817*M12 - 0.000014*M12^2)*SIN(R12)+ (0.019993 - 0.000101*M12)*SIN(2*R12)+ 0.00029*SIN(3*R12)</f>
        <v>197.667842327052</v>
      </c>
      <c r="AP12" s="18" t="n">
        <f aca="false">ACOS(COS(X12-$G$6*AO12)*COS(Y12))/$G$6</f>
        <v>166.005153171702</v>
      </c>
      <c r="AQ12" s="25" t="n">
        <f aca="false">180 - AP12 -0.1468*(1-0.0549*SIN(R12))*SIN($G$6*AP12)/(1-0.0167*SIN($G$6*AO12))</f>
        <v>13.9575968423406</v>
      </c>
      <c r="AR12" s="25" t="n">
        <f aca="false">SIN($G$6*AI12)</f>
        <v>-0.178376499240059</v>
      </c>
      <c r="AS12" s="25" t="n">
        <f aca="false">COS($G$6*AI12)*SIN($G$6*$G$2) - TAN($G$6*AG12)*COS($G$6*$G$2)</f>
        <v>-0.563836709642569</v>
      </c>
      <c r="AT12" s="25" t="n">
        <f aca="false">IF(OR(AND(AR12*AS12&gt;0), AND(AR12&lt;0,AS12&gt;0)), MOD(ATAN2(AS12,AR12)/$G$6+360,360),  ATAN2(AS12,AR12)/$G$6)</f>
        <v>197.555391285031</v>
      </c>
      <c r="AU12" s="18" t="n">
        <f aca="false">IF((X12-X11)/$G$6&lt;0,(X12-X11)/$G$6+360,(X12-X11)/$G$6)</f>
        <v>13.3449633295866</v>
      </c>
      <c r="AV12" s="29" t="n">
        <f aca="false">(1+SIN($G$6*H12)*SIN($G$6*AJ12))*120*ASIN(0.272481*SIN($G$6*AJ12))/$G$6</f>
        <v>31.5204587640703</v>
      </c>
      <c r="AW12" s="10" t="n">
        <f aca="false">COS(X12)</f>
        <v>0.85152504784845</v>
      </c>
      <c r="AX12" s="10" t="n">
        <f aca="false">SIN(X12)</f>
        <v>0.524313925894302</v>
      </c>
      <c r="AY12" s="30" t="n">
        <f aca="false"> 385000.56 + (-20905355*COS(Q12) - 3699111*COS(2*S12-Q12) - 2955968*COS(2*S12) - 569925*COS(2*Q12) + (1-0.002516*M12)*48888*COS(R12) - 3149*COS(2*T12)  +246158*COS(2*S12-2*Q12) -(1-0.002516*M12)*152138*COS(2*S12-R12-Q12) -170733*COS(2*S12+Q12) -(1-0.002516*M12)*204586*COS(2*S12-R12) -(1-0.002516*M12)*129620*COS(R12-Q12)  + 108743*COS(S12) +(1-0.002516*M12)*104755*COS(R12+Q12) +10321*COS(2*S12-2*T12) +79661*COS(Q12-2*T12) -34782*COS(4*S12-Q12) -23210*COS(3*Q12)  -21636*COS(4*S12-2*Q12) +(1-0.002516*M12)*24208*COS(2*S12+R12-Q12) +(1-0.002516*M12)*30824*COS(2*S12+R12) -8379*COS(S12-Q12) -(1-0.002516*M12)*16675*COS(S12+R12)  -(1-0.002516*M12)*12831*COS(2*S12-R12+Q12) -10445*COS(2*S12+2*Q12) -11650*COS(4*S12) +14403*COS(2*S12-3*Q12) -(1-0.002516*M12)*7003*COS(R12-2*Q12)  + (1-0.002516*M12)*10056*COS(2*S12-R12-2*Q12) +6322*COS(S12+Q12) -(1-0.002516*M12)*(1-0.002516*M12)*9884*COS(2*S12-2*R12) +(1-0.002516*M12)*5751*COS(R12+2*Q12) -(1-0.002516*M12)*(1-0.002516*M12)*4950*COS(2*S12-2*R12-Q12)  +4130*COS(2*S12+Q12-2*T12) -(1-0.002516*M12)*3958*COS(4*S12-R12-Q12) +3258*COS(3*S12-Q12) +(1-0.002516*M12)*2616*COS(2*S12+R12+Q12) -(1-0.002516*M12)*1897*COS(4*S12-R12-2*Q12)  -(1-0.002516*M12)*(1-0.002516*M12)*2117*COS(2*R12-Q12) +(1-0.002516*M12)*(1-0.002516*M12)*2354*COS(2*S12+2*R12-Q12) -1423*COS(4*S12+Q12) -1117*COS(4*Q12) -(1-0.002516*M12)*1571*COS(4*S12-R12)  -1739*COS(S12-2*Q12) -4421*COS(2*Q12-2*T12) +(1-0.002516*M12)*(1-0.002516*M12)*1165*COS(2*R12+Q12) +8752*COS(2*S12-Q12-2*T12))/1000</f>
        <v>384222.934828096</v>
      </c>
      <c r="AZ12" s="17" t="n">
        <f aca="false">AZ11+1</f>
        <v>284</v>
      </c>
      <c r="BA12" s="17" t="n">
        <v>11</v>
      </c>
      <c r="BB12" s="32" t="n">
        <f aca="false">ATAN(0.99664719*TAN($G$6*input!$E$2))</f>
        <v>-0.400219206115995</v>
      </c>
      <c r="BC12" s="32" t="n">
        <f aca="false">COS(BB12)</f>
        <v>0.920975608992155</v>
      </c>
      <c r="BD12" s="32" t="n">
        <f aca="false">0.99664719*SIN(BB12)</f>
        <v>-0.388313912533463</v>
      </c>
      <c r="BE12" s="32" t="n">
        <f aca="false">6378.14/AY12</f>
        <v>0.0166001022371391</v>
      </c>
      <c r="BF12" s="33" t="n">
        <f aca="false">N12-15*AH12</f>
        <v>-10.2752097410941</v>
      </c>
      <c r="BG12" s="27" t="n">
        <f aca="false">COS($G$6*AG12)*SIN($G$6*BF12)</f>
        <v>-0.175083384202036</v>
      </c>
      <c r="BH12" s="27" t="n">
        <f aca="false">COS($G$6*AG12)*COS($G$6*BF12)-BC12*BE12</f>
        <v>0.950508503644014</v>
      </c>
      <c r="BI12" s="27" t="n">
        <f aca="false">SIN($G$6*AG12)-BD12*BE12</f>
        <v>0.197711215743143</v>
      </c>
      <c r="BJ12" s="46" t="n">
        <f aca="false">SQRT(BG12^2+BH12^2+BI12^2)</f>
        <v>0.986514232920059</v>
      </c>
      <c r="BK12" s="35" t="n">
        <f aca="false">AY12*BJ12</f>
        <v>379041.393822233</v>
      </c>
      <c r="BL12" s="51" t="str">
        <f aca="false">IF(OR(AND(BK12&gt;BK11,BK12&gt;BK13),AND(BK12&lt;BK11,BK12&lt;BK13)),BK12,"")</f>
        <v/>
      </c>
    </row>
    <row r="13" customFormat="false" ht="15" hidden="false" customHeight="false" outlineLevel="0" collapsed="false">
      <c r="A13" s="20"/>
      <c r="B13" s="20"/>
      <c r="C13" s="20"/>
      <c r="D13" s="17" t="n">
        <v>12</v>
      </c>
      <c r="E13" s="17" t="n">
        <f aca="false">$E$2</f>
        <v>10</v>
      </c>
      <c r="F13" s="17" t="n">
        <f aca="false">$F$2</f>
        <v>2022</v>
      </c>
      <c r="G13" s="52" t="s">
        <v>77</v>
      </c>
      <c r="H13" s="39" t="n">
        <f aca="false">AM13</f>
        <v>44.7029560165202</v>
      </c>
      <c r="I13" s="48" t="n">
        <f aca="false">H13+1.02/(TAN($G$6*(H13+10.3/(H13+5.11)))*60)</f>
        <v>44.7200096686689</v>
      </c>
      <c r="J13" s="39" t="n">
        <f aca="false">100*(1+COS($G$6*AQ13))/2</f>
        <v>94.9746420151646</v>
      </c>
      <c r="K13" s="48" t="n">
        <f aca="false">IF(AI13&gt;180,AT13-180,AT13+180)</f>
        <v>30.160904529589</v>
      </c>
      <c r="L13" s="10" t="n">
        <f aca="false">L12+1</f>
        <v>2459864.5</v>
      </c>
      <c r="M13" s="49" t="n">
        <f aca="false">(L13-2451545)/36525</f>
        <v>0.227775496235455</v>
      </c>
      <c r="N13" s="10" t="n">
        <f aca="false">MOD(280.46061837+360.98564736629*(L13-2451545)+0.000387933*M13^2-M13^3/38710000+$G$4,360)</f>
        <v>20.5539023461752</v>
      </c>
      <c r="O13" s="24" t="n">
        <f aca="false">0.60643382+1336.85522467*M13 - 0.00000313*M13^2 - INT(0.60643382+1336.85522467*M13 - 0.00000313*M13^2)</f>
        <v>0.10929585178053</v>
      </c>
      <c r="P13" s="10" t="n">
        <f aca="false">22640*SIN(Q13)-4586*SIN(Q13-2*S13)+2370*SIN(2*S13)+769*SIN(2*Q13)-668*SIN(R13)-412*SIN(2*T13)-212*SIN(2*Q13-2*S13)-206*SIN(Q13+R13-2*S13)+192*SIN(Q13+2*S13)-165*SIN(R13-2*S13)-125*SIN(S13)-110*SIN(Q13+R13)+148*SIN(Q13-R13)-55*SIN(2*T13-2*S13)</f>
        <v>19029.2983870447</v>
      </c>
      <c r="Q13" s="18" t="n">
        <f aca="false">2*PI()*(0.374897+1325.55241*M13 - INT(0.374897+1325.55241*M13))</f>
        <v>1.9054071960457</v>
      </c>
      <c r="R13" s="26" t="n">
        <f aca="false">2*PI()*(0.993133+99.997361*M13 - INT(0.993133+99.997361*M13))</f>
        <v>4.83856491699607</v>
      </c>
      <c r="S13" s="26" t="n">
        <f aca="false">2*PI()*(0.827361+1236.853086*M13 - INT(0.827361+1236.853086*M13))</f>
        <v>3.46948968895854</v>
      </c>
      <c r="T13" s="26" t="n">
        <f aca="false">2*PI()*(0.259086+1342.227825*M13 - INT(0.259086+1342.227825*M13))</f>
        <v>6.19330371562231</v>
      </c>
      <c r="U13" s="26" t="n">
        <f aca="false">T13+(P13+412*SIN(2*T13)+541*SIN(R13))/206264.8062</f>
        <v>6.28260123217558</v>
      </c>
      <c r="V13" s="26" t="n">
        <f aca="false">T13-2*S13</f>
        <v>-0.745675662294763</v>
      </c>
      <c r="W13" s="25" t="n">
        <f aca="false">-526*SIN(V13)+44*SIN(Q13+V13)-31*SIN(-Q13+V13)-23*SIN(R13+V13)+11*SIN(-R13+V13)-25*SIN(-2*Q13+T13)+21*SIN(-Q13+T13)</f>
        <v>401.272716514671</v>
      </c>
      <c r="X13" s="26" t="n">
        <f aca="false">2*PI()*(O13+P13/1296000-INT(O13+P13/1296000))</f>
        <v>0.778982732042653</v>
      </c>
      <c r="Y13" s="26" t="n">
        <f aca="false">(18520*SIN(U13)+W13)/206264.8062</f>
        <v>0.00189298240086985</v>
      </c>
      <c r="Z13" s="26" t="n">
        <f aca="false">Y13*180/PI()</f>
        <v>0.108459902262384</v>
      </c>
      <c r="AA13" s="26" t="n">
        <f aca="false">COS(Y13)*COS(X13)</f>
        <v>0.711627318650051</v>
      </c>
      <c r="AB13" s="26" t="n">
        <f aca="false">COS(Y13)*SIN(X13)</f>
        <v>0.70255460711097</v>
      </c>
      <c r="AC13" s="26" t="n">
        <f aca="false">SIN(Y13)</f>
        <v>0.00189298127032342</v>
      </c>
      <c r="AD13" s="26" t="n">
        <f aca="false">COS($G$6*(23.4393-46.815*M13/3600))*AB13-SIN($G$6*(23.4393-46.815*M13/3600))*AC13</f>
        <v>0.643842757552987</v>
      </c>
      <c r="AE13" s="26" t="n">
        <f aca="false">SIN($G$6*(23.4393-46.815*M13/3600))*AB13+COS($G$6*(23.4393-46.815*M13/3600))*AC13</f>
        <v>0.281163765264135</v>
      </c>
      <c r="AF13" s="26" t="n">
        <f aca="false">SQRT(1-AE13*AE13)</f>
        <v>0.959659802796019</v>
      </c>
      <c r="AG13" s="10" t="n">
        <f aca="false">ATAN(AE13/AF13)/$G$6</f>
        <v>16.3296741317099</v>
      </c>
      <c r="AH13" s="26" t="n">
        <f aca="false">IF(24*ATAN(AD13/(AA13+AF13))/PI()&gt;0,24*ATAN(AD13/(AA13+AF13))/PI(),24*ATAN(AD13/(AA13+AF13))/PI()+24)</f>
        <v>2.80914190317612</v>
      </c>
      <c r="AI13" s="10" t="n">
        <f aca="false">IF(N13-15*AH13&gt;0,N13-15*AH13,360+N13-15*AH13)</f>
        <v>338.416773798533</v>
      </c>
      <c r="AJ13" s="18" t="n">
        <f aca="false">0.950724+0.051818*COS(Q13)+0.009531*COS(2*S13-Q13)+0.007843*COS(2*S13)+0.002824*COS(2*Q13)+0.000857*COS(2*S13+Q13)+0.000533*COS(2*S13-R13)+0.000401*COS(2*S13-R13-Q13)+0.00032*COS(Q13-R13)-0.000271*COS(S13)</f>
        <v>0.940067871515219</v>
      </c>
      <c r="AK13" s="50" t="n">
        <f aca="false">ASIN(COS($G$6*$G$2)*COS($G$6*AG13)*COS($G$6*AI13)+SIN($G$6*$G$2)*SIN($G$6*AG13))/$G$6</f>
        <v>45.3631076021558</v>
      </c>
      <c r="AL13" s="18" t="n">
        <f aca="false">ASIN((0.9983271+0.0016764*COS($G$6*2*$G$2))*COS($G$6*AK13)*SIN($G$6*AJ13))/$G$6</f>
        <v>0.660151585635548</v>
      </c>
      <c r="AM13" s="18" t="n">
        <f aca="false">AK13-AL13</f>
        <v>44.7029560165202</v>
      </c>
      <c r="AN13" s="10" t="n">
        <f aca="false"> IF(280.4664567 + 360007.6982779*M13/10 + 0.03032028*M13^2/100 + M13^3/49931000&lt;0,MOD(280.4664567 + 360007.6982779*M13/10 + 0.03032028*M13^2/100 + M13^3/49931000+360,360),MOD(280.4664567 + 360007.6982779*M13/10 + 0.03032028*M13^2/100 + M13^3/49931000,360))</f>
        <v>200.559684814176</v>
      </c>
      <c r="AO13" s="27" t="n">
        <f aca="false"> AN13 + (1.9146 - 0.004817*M13 - 0.000014*M13^2)*SIN(R13)+ (0.019993 - 0.000101*M13)*SIN(2*R13)+ 0.00029*SIN(3*R13)</f>
        <v>198.6566776874</v>
      </c>
      <c r="AP13" s="18" t="n">
        <f aca="false">ACOS(COS(X13-$G$6*AO13)*COS(Y13))/$G$6</f>
        <v>154.024044125612</v>
      </c>
      <c r="AQ13" s="25" t="n">
        <f aca="false">180 - AP13 -0.1468*(1-0.0549*SIN(R13))*SIN($G$6*AP13)/(1-0.0167*SIN($G$6*AO13))</f>
        <v>25.9085167720953</v>
      </c>
      <c r="AR13" s="25" t="n">
        <f aca="false">SIN($G$6*AI13)</f>
        <v>-0.36785233739704</v>
      </c>
      <c r="AS13" s="25" t="n">
        <f aca="false">COS($G$6*AI13)*SIN($G$6*$G$2) - TAN($G$6*AG13)*COS($G$6*$G$2)</f>
        <v>-0.633026750295025</v>
      </c>
      <c r="AT13" s="25" t="n">
        <f aca="false">IF(OR(AND(AR13*AS13&gt;0), AND(AR13&lt;0,AS13&gt;0)), MOD(ATAN2(AS13,AR13)/$G$6+360,360),  ATAN2(AS13,AR13)/$G$6)</f>
        <v>210.160904529589</v>
      </c>
      <c r="AU13" s="18" t="n">
        <f aca="false">IF((X13-X12)/$G$6&lt;0,(X13-X12)/$G$6+360,(X13-X12)/$G$6)</f>
        <v>13.0103543022658</v>
      </c>
      <c r="AV13" s="29" t="n">
        <f aca="false">(1+SIN($G$6*H13)*SIN($G$6*AJ13))*120*ASIN(0.272481*SIN($G$6*AJ13))/$G$6</f>
        <v>31.0915289657549</v>
      </c>
      <c r="AW13" s="10" t="n">
        <f aca="false">COS(X13)</f>
        <v>0.711628593668348</v>
      </c>
      <c r="AX13" s="10" t="n">
        <f aca="false">SIN(X13)</f>
        <v>0.702555865873746</v>
      </c>
      <c r="AY13" s="30" t="n">
        <f aca="false"> 385000.56 + (-20905355*COS(Q13) - 3699111*COS(2*S13-Q13) - 2955968*COS(2*S13) - 569925*COS(2*Q13) + (1-0.002516*M13)*48888*COS(R13) - 3149*COS(2*T13)  +246158*COS(2*S13-2*Q13) -(1-0.002516*M13)*152138*COS(2*S13-R13-Q13) -170733*COS(2*S13+Q13) -(1-0.002516*M13)*204586*COS(2*S13-R13) -(1-0.002516*M13)*129620*COS(R13-Q13)  + 108743*COS(S13) +(1-0.002516*M13)*104755*COS(R13+Q13) +10321*COS(2*S13-2*T13) +79661*COS(Q13-2*T13) -34782*COS(4*S13-Q13) -23210*COS(3*Q13)  -21636*COS(4*S13-2*Q13) +(1-0.002516*M13)*24208*COS(2*S13+R13-Q13) +(1-0.002516*M13)*30824*COS(2*S13+R13) -8379*COS(S13-Q13) -(1-0.002516*M13)*16675*COS(S13+R13)  -(1-0.002516*M13)*12831*COS(2*S13-R13+Q13) -10445*COS(2*S13+2*Q13) -11650*COS(4*S13) +14403*COS(2*S13-3*Q13) -(1-0.002516*M13)*7003*COS(R13-2*Q13)  + (1-0.002516*M13)*10056*COS(2*S13-R13-2*Q13) +6322*COS(S13+Q13) -(1-0.002516*M13)*(1-0.002516*M13)*9884*COS(2*S13-2*R13) +(1-0.002516*M13)*5751*COS(R13+2*Q13) -(1-0.002516*M13)*(1-0.002516*M13)*4950*COS(2*S13-2*R13-Q13)  +4130*COS(2*S13+Q13-2*T13) -(1-0.002516*M13)*3958*COS(4*S13-R13-Q13) +3258*COS(3*S13-Q13) +(1-0.002516*M13)*2616*COS(2*S13+R13+Q13) -(1-0.002516*M13)*1897*COS(4*S13-R13-2*Q13)  -(1-0.002516*M13)*(1-0.002516*M13)*2117*COS(2*R13-Q13) +(1-0.002516*M13)*(1-0.002516*M13)*2354*COS(2*S13+2*R13-Q13) -1423*COS(4*S13+Q13) -1117*COS(4*Q13) -(1-0.002516*M13)*1571*COS(4*S13-R13)  -1739*COS(S13-2*Q13) -4421*COS(2*Q13-2*T13) +(1-0.002516*M13)*(1-0.002516*M13)*1165*COS(2*R13+Q13) +8752*COS(2*S13-Q13-2*T13))/1000</f>
        <v>388733.6378279</v>
      </c>
      <c r="AZ13" s="17" t="n">
        <f aca="false">AZ12+1</f>
        <v>285</v>
      </c>
      <c r="BA13" s="17" t="n">
        <v>12</v>
      </c>
      <c r="BB13" s="32" t="n">
        <f aca="false">ATAN(0.99664719*TAN($G$6*input!$E$2))</f>
        <v>-0.400219206115995</v>
      </c>
      <c r="BC13" s="32" t="n">
        <f aca="false">COS(BB13)</f>
        <v>0.920975608992155</v>
      </c>
      <c r="BD13" s="32" t="n">
        <f aca="false">0.99664719*SIN(BB13)</f>
        <v>-0.388313912533463</v>
      </c>
      <c r="BE13" s="32" t="n">
        <f aca="false">6378.14/AY13</f>
        <v>0.0164074815743724</v>
      </c>
      <c r="BF13" s="33" t="n">
        <f aca="false">N13-15*AH13</f>
        <v>-21.5832262014666</v>
      </c>
      <c r="BG13" s="27" t="n">
        <f aca="false">COS($G$6*AG13)*SIN($G$6*BF13)</f>
        <v>-0.353013101564499</v>
      </c>
      <c r="BH13" s="27" t="n">
        <f aca="false">COS($G$6*AG13)*COS($G$6*BF13)-BC13*BE13</f>
        <v>0.877261614410823</v>
      </c>
      <c r="BI13" s="27" t="n">
        <f aca="false">SIN($G$6*AG13)-BD13*BE13</f>
        <v>0.2875350186291</v>
      </c>
      <c r="BJ13" s="46" t="n">
        <f aca="false">SQRT(BG13^2+BH13^2+BI13^2)</f>
        <v>0.988373703076376</v>
      </c>
      <c r="BK13" s="35" t="n">
        <f aca="false">AY13*BJ13</f>
        <v>384214.105130312</v>
      </c>
      <c r="BL13" s="51" t="str">
        <f aca="false">IF(OR(AND(BK13&gt;BK12,BK13&gt;BK14),AND(BK13&lt;BK12,BK13&lt;BK14)),BK13,"")</f>
        <v/>
      </c>
    </row>
    <row r="14" customFormat="false" ht="15" hidden="false" customHeight="false" outlineLevel="0" collapsed="false">
      <c r="A14" s="20"/>
      <c r="B14" s="20"/>
      <c r="C14" s="20"/>
      <c r="D14" s="17" t="n">
        <v>13</v>
      </c>
      <c r="E14" s="17" t="n">
        <f aca="false">$E$2</f>
        <v>10</v>
      </c>
      <c r="F14" s="17" t="n">
        <f aca="false">$F$2</f>
        <v>2022</v>
      </c>
      <c r="G14" s="53" t="s">
        <v>10</v>
      </c>
      <c r="H14" s="39" t="n">
        <f aca="false">AM14</f>
        <v>34.805250345535</v>
      </c>
      <c r="I14" s="48" t="n">
        <f aca="false">H14+1.02/(TAN($G$6*(H14+10.3/(H14+5.11)))*60)</f>
        <v>34.8294718658468</v>
      </c>
      <c r="J14" s="39" t="n">
        <f aca="false">100*(1+COS($G$6*AQ14))/2</f>
        <v>89.6182473792447</v>
      </c>
      <c r="K14" s="48" t="n">
        <f aca="false">IF(AI14&gt;180,AT14-180,AT14+180)</f>
        <v>38.9829027318452</v>
      </c>
      <c r="L14" s="10" t="n">
        <f aca="false">L13+1</f>
        <v>2459865.5</v>
      </c>
      <c r="M14" s="49" t="n">
        <f aca="false">(L14-2451545)/36525</f>
        <v>0.227802874743327</v>
      </c>
      <c r="N14" s="10" t="n">
        <f aca="false">MOD(280.46061837+360.98564736629*(L14-2451545)+0.000387933*M14^2-M14^3/38710000+$G$4,360)</f>
        <v>21.539549717214</v>
      </c>
      <c r="O14" s="24" t="n">
        <f aca="false">0.60643382+1336.85522467*M14 - 0.00000313*M14^2 - INT(0.60643382+1336.85522467*M14 - 0.00000313*M14^2)</f>
        <v>0.145896953032945</v>
      </c>
      <c r="P14" s="10" t="n">
        <f aca="false">22640*SIN(Q14)-4586*SIN(Q14-2*S14)+2370*SIN(2*S14)+769*SIN(2*Q14)-668*SIN(R14)-412*SIN(2*T14)-212*SIN(2*Q14-2*S14)-206*SIN(Q14+R14-2*S14)+192*SIN(Q14+2*S14)-165*SIN(R14-2*S14)-125*SIN(S14)-110*SIN(Q14+R14)+148*SIN(Q14-R14)-55*SIN(2*T14-2*S14)</f>
        <v>17252.0716086437</v>
      </c>
      <c r="Q14" s="18" t="n">
        <f aca="false">2*PI()*(0.374897+1325.55241*M14 - INT(0.374897+1325.55241*M14))</f>
        <v>2.13343433982116</v>
      </c>
      <c r="R14" s="26" t="n">
        <f aca="false">2*PI()*(0.993133+99.997361*M14 - INT(0.993133+99.997361*M14))</f>
        <v>4.85576688686308</v>
      </c>
      <c r="S14" s="26" t="n">
        <f aca="false">2*PI()*(0.827361+1236.853086*M14 - INT(0.827361+1236.853086*M14))</f>
        <v>3.68225839907756</v>
      </c>
      <c r="T14" s="26" t="n">
        <f aca="false">2*PI()*(0.259086+1342.227825*M14 - INT(0.259086+1342.227825*M14))</f>
        <v>0.141014127783725</v>
      </c>
      <c r="U14" s="26" t="n">
        <f aca="false">T14+(P14+412*SIN(2*T14)+541*SIN(R14))/206264.8062</f>
        <v>0.2226144963504</v>
      </c>
      <c r="V14" s="26" t="n">
        <f aca="false">T14-2*S14</f>
        <v>-7.2235026703714</v>
      </c>
      <c r="W14" s="25" t="n">
        <f aca="false">-526*SIN(V14)+44*SIN(Q14+V14)-31*SIN(-Q14+V14)-23*SIN(R14+V14)+11*SIN(-R14+V14)-25*SIN(-2*Q14+T14)+21*SIN(-Q14+T14)</f>
        <v>449.115329768549</v>
      </c>
      <c r="X14" s="26" t="n">
        <f aca="false">2*PI()*(O14+P14/1296000-INT(O14+P14/1296000))</f>
        <v>1.00033799509239</v>
      </c>
      <c r="Y14" s="26" t="n">
        <f aca="false">(18520*SIN(U14)+W14)/206264.8062</f>
        <v>0.022000687277275</v>
      </c>
      <c r="Z14" s="26" t="n">
        <f aca="false">Y14*180/PI()</f>
        <v>1.26054652737502</v>
      </c>
      <c r="AA14" s="26" t="n">
        <f aca="false">COS(Y14)*COS(X14)</f>
        <v>0.539887174731713</v>
      </c>
      <c r="AB14" s="26" t="n">
        <f aca="false">COS(Y14)*SIN(X14)</f>
        <v>0.841449871596394</v>
      </c>
      <c r="AC14" s="26" t="n">
        <f aca="false">SIN(Y14)</f>
        <v>0.0219989124872351</v>
      </c>
      <c r="AD14" s="26" t="n">
        <f aca="false">COS($G$6*(23.4393-46.815*M14/3600))*AB14-SIN($G$6*(23.4393-46.815*M14/3600))*AC14</f>
        <v>0.763282791586847</v>
      </c>
      <c r="AE14" s="26" t="n">
        <f aca="false">SIN($G$6*(23.4393-46.815*M14/3600))*AB14+COS($G$6*(23.4393-46.815*M14/3600))*AC14</f>
        <v>0.354853798947678</v>
      </c>
      <c r="AF14" s="26" t="n">
        <f aca="false">SQRT(1-AE14*AE14)</f>
        <v>0.934921804950767</v>
      </c>
      <c r="AG14" s="10" t="n">
        <f aca="false">ATAN(AE14/AF14)/$G$6</f>
        <v>20.7844843243622</v>
      </c>
      <c r="AH14" s="26" t="n">
        <f aca="false">IF(24*ATAN(AD14/(AA14+AF14))/PI()&gt;0,24*ATAN(AD14/(AA14+AF14))/PI(),24*ATAN(AD14/(AA14+AF14))/PI()+24)</f>
        <v>3.64849114544767</v>
      </c>
      <c r="AI14" s="10" t="n">
        <f aca="false">IF(N14-15*AH14&gt;0,N14-15*AH14,360+N14-15*AH14)</f>
        <v>326.812182535499</v>
      </c>
      <c r="AJ14" s="18" t="n">
        <f aca="false">0.950724+0.051818*COS(Q14)+0.009531*COS(2*S14-Q14)+0.007843*COS(2*S14)+0.002824*COS(2*Q14)+0.000857*COS(2*S14+Q14)+0.000533*COS(2*S14-R14)+0.000401*COS(2*S14-R14-Q14)+0.00032*COS(Q14-R14)-0.000271*COS(S14)</f>
        <v>0.929307360042489</v>
      </c>
      <c r="AK14" s="50" t="n">
        <f aca="false">ASIN(COS($G$6*$G$2)*COS($G$6*AG14)*COS($G$6*AI14)+SIN($G$6*$G$2)*SIN($G$6*AG14))/$G$6</f>
        <v>35.5608448288613</v>
      </c>
      <c r="AL14" s="18" t="n">
        <f aca="false">ASIN((0.9983271+0.0016764*COS($G$6*2*$G$2))*COS($G$6*AK14)*SIN($G$6*AJ14))/$G$6</f>
        <v>0.755594483326272</v>
      </c>
      <c r="AM14" s="18" t="n">
        <f aca="false">AK14-AL14</f>
        <v>34.805250345535</v>
      </c>
      <c r="AN14" s="10" t="n">
        <f aca="false"> IF(280.4664567 + 360007.6982779*M14/10 + 0.03032028*M14^2/100 + M14^3/49931000&lt;0,MOD(280.4664567 + 360007.6982779*M14/10 + 0.03032028*M14^2/100 + M14^3/49931000+360,360),MOD(280.4664567 + 360007.6982779*M14/10 + 0.03032028*M14^2/100 + M14^3/49931000,360))</f>
        <v>201.545332178061</v>
      </c>
      <c r="AO14" s="27" t="n">
        <f aca="false"> AN14 + (1.9146 - 0.004817*M14 - 0.000014*M14^2)*SIN(R14)+ (0.019993 - 0.000101*M14)*SIN(2*R14)+ 0.00029*SIN(3*R14)</f>
        <v>199.646079936087</v>
      </c>
      <c r="AP14" s="18" t="n">
        <f aca="false">ACOS(COS(X14-$G$6*AO14)*COS(Y14))/$G$6</f>
        <v>142.312977982646</v>
      </c>
      <c r="AQ14" s="25" t="n">
        <f aca="false">180 - AP14 -0.1468*(1-0.0549*SIN(R14))*SIN($G$6*AP14)/(1-0.0167*SIN($G$6*AO14))</f>
        <v>37.5929279774673</v>
      </c>
      <c r="AR14" s="25" t="n">
        <f aca="false">SIN($G$6*AI14)</f>
        <v>-0.547385293806565</v>
      </c>
      <c r="AS14" s="25" t="n">
        <f aca="false">COS($G$6*AI14)*SIN($G$6*$G$2) - TAN($G$6*AG14)*COS($G$6*$G$2)</f>
        <v>-0.676377128090986</v>
      </c>
      <c r="AT14" s="25" t="n">
        <f aca="false">IF(OR(AND(AR14*AS14&gt;0), AND(AR14&lt;0,AS14&gt;0)), MOD(ATAN2(AS14,AR14)/$G$6+360,360),  ATAN2(AS14,AR14)/$G$6)</f>
        <v>218.982902731845</v>
      </c>
      <c r="AU14" s="18" t="n">
        <f aca="false">IF((X14-X13)/$G$6&lt;0,(X14-X13)/$G$6+360,(X14-X13)/$G$6)</f>
        <v>12.6827223457582</v>
      </c>
      <c r="AV14" s="29" t="n">
        <f aca="false">(1+SIN($G$6*H14)*SIN($G$6*AJ14))*120*ASIN(0.272481*SIN($G$6*AJ14))/$G$6</f>
        <v>30.6662872407858</v>
      </c>
      <c r="AW14" s="10" t="n">
        <f aca="false">COS(X14)</f>
        <v>0.540017861948048</v>
      </c>
      <c r="AX14" s="10" t="n">
        <f aca="false">SIN(X14)</f>
        <v>0.841653556267102</v>
      </c>
      <c r="AY14" s="30" t="n">
        <f aca="false"> 385000.56 + (-20905355*COS(Q14) - 3699111*COS(2*S14-Q14) - 2955968*COS(2*S14) - 569925*COS(2*Q14) + (1-0.002516*M14)*48888*COS(R14) - 3149*COS(2*T14)  +246158*COS(2*S14-2*Q14) -(1-0.002516*M14)*152138*COS(2*S14-R14-Q14) -170733*COS(2*S14+Q14) -(1-0.002516*M14)*204586*COS(2*S14-R14) -(1-0.002516*M14)*129620*COS(R14-Q14)  + 108743*COS(S14) +(1-0.002516*M14)*104755*COS(R14+Q14) +10321*COS(2*S14-2*T14) +79661*COS(Q14-2*T14) -34782*COS(4*S14-Q14) -23210*COS(3*Q14)  -21636*COS(4*S14-2*Q14) +(1-0.002516*M14)*24208*COS(2*S14+R14-Q14) +(1-0.002516*M14)*30824*COS(2*S14+R14) -8379*COS(S14-Q14) -(1-0.002516*M14)*16675*COS(S14+R14)  -(1-0.002516*M14)*12831*COS(2*S14-R14+Q14) -10445*COS(2*S14+2*Q14) -11650*COS(4*S14) +14403*COS(2*S14-3*Q14) -(1-0.002516*M14)*7003*COS(R14-2*Q14)  + (1-0.002516*M14)*10056*COS(2*S14-R14-2*Q14) +6322*COS(S14+Q14) -(1-0.002516*M14)*(1-0.002516*M14)*9884*COS(2*S14-2*R14) +(1-0.002516*M14)*5751*COS(R14+2*Q14) -(1-0.002516*M14)*(1-0.002516*M14)*4950*COS(2*S14-2*R14-Q14)  +4130*COS(2*S14+Q14-2*T14) -(1-0.002516*M14)*3958*COS(4*S14-R14-Q14) +3258*COS(3*S14-Q14) +(1-0.002516*M14)*2616*COS(2*S14+R14+Q14) -(1-0.002516*M14)*1897*COS(4*S14-R14-2*Q14)  -(1-0.002516*M14)*(1-0.002516*M14)*2117*COS(2*R14-Q14) +(1-0.002516*M14)*(1-0.002516*M14)*2354*COS(2*S14+2*R14-Q14) -1423*COS(4*S14+Q14) -1117*COS(4*Q14) -(1-0.002516*M14)*1571*COS(4*S14-R14)  -1739*COS(S14-2*Q14) -4421*COS(2*Q14-2*T14) +(1-0.002516*M14)*(1-0.002516*M14)*1165*COS(2*R14+Q14) +8752*COS(2*S14-Q14-2*T14))/1000</f>
        <v>393194.332797055</v>
      </c>
      <c r="AZ14" s="17" t="n">
        <f aca="false">AZ13+1</f>
        <v>286</v>
      </c>
      <c r="BA14" s="17" t="n">
        <v>13</v>
      </c>
      <c r="BB14" s="32" t="n">
        <f aca="false">ATAN(0.99664719*TAN($G$6*input!$E$2))</f>
        <v>-0.400219206115995</v>
      </c>
      <c r="BC14" s="32" t="n">
        <f aca="false">COS(BB14)</f>
        <v>0.920975608992155</v>
      </c>
      <c r="BD14" s="32" t="n">
        <f aca="false">0.99664719*SIN(BB14)</f>
        <v>-0.388313912533463</v>
      </c>
      <c r="BE14" s="32" t="n">
        <f aca="false">6378.14/AY14</f>
        <v>0.0162213426491374</v>
      </c>
      <c r="BF14" s="33" t="n">
        <f aca="false">N14-15*AH14</f>
        <v>-33.187817464501</v>
      </c>
      <c r="BG14" s="27" t="n">
        <f aca="false">COS($G$6*AG14)*SIN($G$6*BF14)</f>
        <v>-0.51176244688914</v>
      </c>
      <c r="BH14" s="27" t="n">
        <f aca="false">COS($G$6*AG14)*COS($G$6*BF14)-BC14*BE14</f>
        <v>0.767478572690346</v>
      </c>
      <c r="BI14" s="27" t="n">
        <f aca="false">SIN($G$6*AG14)-BD14*BE14</f>
        <v>0.361152771978311</v>
      </c>
      <c r="BJ14" s="46" t="n">
        <f aca="false">SQRT(BG14^2+BH14^2+BI14^2)</f>
        <v>0.99063388105414</v>
      </c>
      <c r="BK14" s="35" t="n">
        <f aca="false">AY14*BJ14</f>
        <v>389511.627907239</v>
      </c>
      <c r="BL14" s="51" t="str">
        <f aca="false">IF(OR(AND(BK14&gt;BK13,BK14&gt;BK15),AND(BK14&lt;BK13,BK14&lt;BK15)),BK14,"")</f>
        <v/>
      </c>
    </row>
    <row r="15" customFormat="false" ht="15" hidden="false" customHeight="false" outlineLevel="0" collapsed="false">
      <c r="A15" s="20"/>
      <c r="B15" s="20"/>
      <c r="C15" s="20"/>
      <c r="D15" s="17" t="n">
        <v>14</v>
      </c>
      <c r="E15" s="17" t="n">
        <f aca="false">$E$2</f>
        <v>10</v>
      </c>
      <c r="F15" s="17" t="n">
        <f aca="false">$F$2</f>
        <v>2022</v>
      </c>
      <c r="G15" s="17" t="s">
        <v>11</v>
      </c>
      <c r="H15" s="39" t="n">
        <f aca="false">AM15</f>
        <v>24.7647539759085</v>
      </c>
      <c r="I15" s="48" t="n">
        <f aca="false">H15+1.02/(TAN($G$6*(H15+10.3/(H15+5.11)))*60)</f>
        <v>24.801029387157</v>
      </c>
      <c r="J15" s="39" t="n">
        <f aca="false">100*(1+COS($G$6*AQ15))/2</f>
        <v>82.8068577317346</v>
      </c>
      <c r="K15" s="48" t="n">
        <f aca="false">IF(AI15&gt;180,AT15-180,AT15+180)</f>
        <v>45.7990333249298</v>
      </c>
      <c r="L15" s="10" t="n">
        <f aca="false">L14+1</f>
        <v>2459866.5</v>
      </c>
      <c r="M15" s="49" t="n">
        <f aca="false">(L15-2451545)/36525</f>
        <v>0.227830253251198</v>
      </c>
      <c r="N15" s="10" t="n">
        <f aca="false">MOD(280.46061837+360.98564736629*(L15-2451545)+0.000387933*M15^2-M15^3/38710000+$G$4,360)</f>
        <v>22.5251970877871</v>
      </c>
      <c r="O15" s="24" t="n">
        <f aca="false">0.60643382+1336.85522467*M15 - 0.00000313*M15^2 - INT(0.60643382+1336.85522467*M15 - 0.00000313*M15^2)</f>
        <v>0.182498054285361</v>
      </c>
      <c r="P15" s="10" t="n">
        <f aca="false">22640*SIN(Q15)-4586*SIN(Q15-2*S15)+2370*SIN(2*S15)+769*SIN(2*Q15)-668*SIN(R15)-412*SIN(2*T15)-212*SIN(2*Q15-2*S15)-206*SIN(Q15+R15-2*S15)+192*SIN(Q15+2*S15)-165*SIN(R15-2*S15)-125*SIN(S15)-110*SIN(Q15+R15)+148*SIN(Q15-R15)-55*SIN(2*T15-2*S15)</f>
        <v>14422.1262360374</v>
      </c>
      <c r="Q15" s="18" t="n">
        <f aca="false">2*PI()*(0.374897+1325.55241*M15 - INT(0.374897+1325.55241*M15))</f>
        <v>2.36146148359698</v>
      </c>
      <c r="R15" s="26" t="n">
        <f aca="false">2*PI()*(0.993133+99.997361*M15 - INT(0.993133+99.997361*M15))</f>
        <v>4.87296885673007</v>
      </c>
      <c r="S15" s="26" t="n">
        <f aca="false">2*PI()*(0.827361+1236.853086*M15 - INT(0.827361+1236.853086*M15))</f>
        <v>3.89502710919658</v>
      </c>
      <c r="T15" s="26" t="n">
        <f aca="false">2*PI()*(0.259086+1342.227825*M15 - INT(0.259086+1342.227825*M15))</f>
        <v>0.37190984712473</v>
      </c>
      <c r="U15" s="26" t="n">
        <f aca="false">T15+(P15+412*SIN(2*T15)+541*SIN(R15))/206264.8062</f>
        <v>0.4405936586543</v>
      </c>
      <c r="V15" s="26" t="n">
        <f aca="false">T15-2*S15</f>
        <v>-7.41814437126844</v>
      </c>
      <c r="W15" s="25" t="n">
        <f aca="false">-526*SIN(V15)+44*SIN(Q15+V15)-31*SIN(-Q15+V15)-23*SIN(R15+V15)+11*SIN(-R15+V15)-25*SIN(-2*Q15+T15)+21*SIN(-Q15+T15)</f>
        <v>480.813033744227</v>
      </c>
      <c r="X15" s="26" t="n">
        <f aca="false">2*PI()*(O15+P15/1296000-INT(O15+P15/1296000))</f>
        <v>1.21658953437384</v>
      </c>
      <c r="Y15" s="26" t="n">
        <f aca="false">(18520*SIN(U15)+W15)/206264.8062</f>
        <v>0.0406233037781982</v>
      </c>
      <c r="Z15" s="26" t="n">
        <f aca="false">Y15*180/PI()</f>
        <v>2.32754385636861</v>
      </c>
      <c r="AA15" s="26" t="n">
        <f aca="false">COS(Y15)*COS(X15)</f>
        <v>0.346560354807693</v>
      </c>
      <c r="AB15" s="26" t="n">
        <f aca="false">COS(Y15)*SIN(X15)</f>
        <v>0.937148107421716</v>
      </c>
      <c r="AC15" s="26" t="n">
        <f aca="false">SIN(Y15)</f>
        <v>0.0406121315798847</v>
      </c>
      <c r="AD15" s="26" t="n">
        <f aca="false">COS($G$6*(23.4393-46.815*M15/3600))*AB15-SIN($G$6*(23.4393-46.815*M15/3600))*AC15</f>
        <v>0.84368313798601</v>
      </c>
      <c r="AE15" s="26" t="n">
        <f aca="false">SIN($G$6*(23.4393-46.815*M15/3600))*AB15+COS($G$6*(23.4393-46.815*M15/3600))*AC15</f>
        <v>0.40999351598976</v>
      </c>
      <c r="AF15" s="26" t="n">
        <f aca="false">SQRT(1-AE15*AE15)</f>
        <v>0.912088436965602</v>
      </c>
      <c r="AG15" s="10" t="n">
        <f aca="false">ATAN(AE15/AF15)/$G$6</f>
        <v>24.204427486773</v>
      </c>
      <c r="AH15" s="26" t="n">
        <f aca="false">IF(24*ATAN(AD15/(AA15+AF15))/PI()&gt;0,24*ATAN(AD15/(AA15+AF15))/PI(),24*ATAN(AD15/(AA15+AF15))/PI()+24)</f>
        <v>4.51123836677973</v>
      </c>
      <c r="AI15" s="10" t="n">
        <f aca="false">IF(N15-15*AH15&gt;0,N15-15*AH15,360+N15-15*AH15)</f>
        <v>314.856621586091</v>
      </c>
      <c r="AJ15" s="18" t="n">
        <f aca="false">0.950724+0.051818*COS(Q15)+0.009531*COS(2*S15-Q15)+0.007843*COS(2*S15)+0.002824*COS(2*Q15)+0.000857*COS(2*S15+Q15)+0.000533*COS(2*S15-R15)+0.000401*COS(2*S15-R15-Q15)+0.00032*COS(Q15-R15)-0.000271*COS(S15)</f>
        <v>0.919798478023602</v>
      </c>
      <c r="AK15" s="50" t="n">
        <f aca="false">ASIN(COS($G$6*$G$2)*COS($G$6*AG15)*COS($G$6*AI15)+SIN($G$6*$G$2)*SIN($G$6*AG15))/$G$6</f>
        <v>25.5938722649225</v>
      </c>
      <c r="AL15" s="18" t="n">
        <f aca="false">ASIN((0.9983271+0.0016764*COS($G$6*2*$G$2))*COS($G$6*AK15)*SIN($G$6*AJ15))/$G$6</f>
        <v>0.829118289014074</v>
      </c>
      <c r="AM15" s="18" t="n">
        <f aca="false">AK15-AL15</f>
        <v>24.7647539759085</v>
      </c>
      <c r="AN15" s="10" t="n">
        <f aca="false"> IF(280.4664567 + 360007.6982779*M15/10 + 0.03032028*M15^2/100 + M15^3/49931000&lt;0,MOD(280.4664567 + 360007.6982779*M15/10 + 0.03032028*M15^2/100 + M15^3/49931000+360,360),MOD(280.4664567 + 360007.6982779*M15/10 + 0.03032028*M15^2/100 + M15^3/49931000,360))</f>
        <v>202.530979541949</v>
      </c>
      <c r="AO15" s="27" t="n">
        <f aca="false"> AN15 + (1.9146 - 0.004817*M15 - 0.000014*M15^2)*SIN(R15)+ (0.019993 - 0.000101*M15)*SIN(2*R15)+ 0.00029*SIN(3*R15)</f>
        <v>200.63604856368</v>
      </c>
      <c r="AP15" s="18" t="n">
        <f aca="false">ACOS(COS(X15-$G$6*AO15)*COS(Y15))/$G$6</f>
        <v>130.889624984958</v>
      </c>
      <c r="AQ15" s="25" t="n">
        <f aca="false">180 - AP15 -0.1468*(1-0.0549*SIN(R15))*SIN($G$6*AP15)/(1-0.0167*SIN($G$6*AO15))</f>
        <v>48.9940686176132</v>
      </c>
      <c r="AR15" s="25" t="n">
        <f aca="false">SIN($G$6*AI15)</f>
        <v>-0.708874047311647</v>
      </c>
      <c r="AS15" s="25" t="n">
        <f aca="false">COS($G$6*AI15)*SIN($G$6*$G$2) - TAN($G$6*AG15)*COS($G$6*$G$2)</f>
        <v>-0.689373159828081</v>
      </c>
      <c r="AT15" s="25" t="n">
        <f aca="false">IF(OR(AND(AR15*AS15&gt;0), AND(AR15&lt;0,AS15&gt;0)), MOD(ATAN2(AS15,AR15)/$G$6+360,360),  ATAN2(AS15,AR15)/$G$6)</f>
        <v>225.79903332493</v>
      </c>
      <c r="AU15" s="18" t="n">
        <f aca="false">IF((X15-X14)/$G$6&lt;0,(X15-X14)/$G$6+360,(X15-X14)/$G$6)</f>
        <v>12.3903005140345</v>
      </c>
      <c r="AV15" s="29" t="n">
        <f aca="false">(1+SIN($G$6*H15)*SIN($G$6*AJ15))*120*ASIN(0.272481*SIN($G$6*AJ15))/$G$6</f>
        <v>30.2763483167082</v>
      </c>
      <c r="AW15" s="10" t="n">
        <f aca="false">COS(X15)</f>
        <v>0.34684650766433</v>
      </c>
      <c r="AX15" s="10" t="n">
        <f aca="false">SIN(X15)</f>
        <v>0.937921905129131</v>
      </c>
      <c r="AY15" s="30" t="n">
        <f aca="false"> 385000.56 + (-20905355*COS(Q15) - 3699111*COS(2*S15-Q15) - 2955968*COS(2*S15) - 569925*COS(2*Q15) + (1-0.002516*M15)*48888*COS(R15) - 3149*COS(2*T15)  +246158*COS(2*S15-2*Q15) -(1-0.002516*M15)*152138*COS(2*S15-R15-Q15) -170733*COS(2*S15+Q15) -(1-0.002516*M15)*204586*COS(2*S15-R15) -(1-0.002516*M15)*129620*COS(R15-Q15)  + 108743*COS(S15) +(1-0.002516*M15)*104755*COS(R15+Q15) +10321*COS(2*S15-2*T15) +79661*COS(Q15-2*T15) -34782*COS(4*S15-Q15) -23210*COS(3*Q15)  -21636*COS(4*S15-2*Q15) +(1-0.002516*M15)*24208*COS(2*S15+R15-Q15) +(1-0.002516*M15)*30824*COS(2*S15+R15) -8379*COS(S15-Q15) -(1-0.002516*M15)*16675*COS(S15+R15)  -(1-0.002516*M15)*12831*COS(2*S15-R15+Q15) -10445*COS(2*S15+2*Q15) -11650*COS(4*S15) +14403*COS(2*S15-3*Q15) -(1-0.002516*M15)*7003*COS(R15-2*Q15)  + (1-0.002516*M15)*10056*COS(2*S15-R15-2*Q15) +6322*COS(S15+Q15) -(1-0.002516*M15)*(1-0.002516*M15)*9884*COS(2*S15-2*R15) +(1-0.002516*M15)*5751*COS(R15+2*Q15) -(1-0.002516*M15)*(1-0.002516*M15)*4950*COS(2*S15-2*R15-Q15)  +4130*COS(2*S15+Q15-2*T15) -(1-0.002516*M15)*3958*COS(4*S15-R15-Q15) +3258*COS(3*S15-Q15) +(1-0.002516*M15)*2616*COS(2*S15+R15+Q15) -(1-0.002516*M15)*1897*COS(4*S15-R15-2*Q15)  -(1-0.002516*M15)*(1-0.002516*M15)*2117*COS(2*R15-Q15) +(1-0.002516*M15)*(1-0.002516*M15)*2354*COS(2*S15+2*R15-Q15) -1423*COS(4*S15+Q15) -1117*COS(4*Q15) -(1-0.002516*M15)*1571*COS(4*S15-R15)  -1739*COS(S15-2*Q15) -4421*COS(2*Q15-2*T15) +(1-0.002516*M15)*(1-0.002516*M15)*1165*COS(2*R15+Q15) +8752*COS(2*S15-Q15-2*T15))/1000</f>
        <v>397265.214038636</v>
      </c>
      <c r="AZ15" s="17" t="n">
        <f aca="false">AZ14+1</f>
        <v>287</v>
      </c>
      <c r="BA15" s="17" t="n">
        <v>14</v>
      </c>
      <c r="BB15" s="32" t="n">
        <f aca="false">ATAN(0.99664719*TAN($G$6*input!$E$2))</f>
        <v>-0.400219206115995</v>
      </c>
      <c r="BC15" s="32" t="n">
        <f aca="false">COS(BB15)</f>
        <v>0.920975608992155</v>
      </c>
      <c r="BD15" s="32" t="n">
        <f aca="false">0.99664719*SIN(BB15)</f>
        <v>-0.388313912533463</v>
      </c>
      <c r="BE15" s="32" t="n">
        <f aca="false">6378.14/AY15</f>
        <v>0.0160551182802019</v>
      </c>
      <c r="BF15" s="33" t="n">
        <f aca="false">N15-15*AH15</f>
        <v>-45.1433784139089</v>
      </c>
      <c r="BG15" s="27" t="n">
        <f aca="false">COS($G$6*AG15)*SIN($G$6*BF15)</f>
        <v>-0.646555821817962</v>
      </c>
      <c r="BH15" s="27" t="n">
        <f aca="false">COS($G$6*AG15)*COS($G$6*BF15)-BC15*BE15</f>
        <v>0.62854160476451</v>
      </c>
      <c r="BI15" s="27" t="n">
        <f aca="false">SIN($G$6*AG15)-BD15*BE15</f>
        <v>0.416227941785332</v>
      </c>
      <c r="BJ15" s="46" t="n">
        <f aca="false">SQRT(BG15^2+BH15^2+BI15^2)</f>
        <v>0.993148870597706</v>
      </c>
      <c r="BK15" s="35" t="n">
        <f aca="false">AY15*BJ15</f>
        <v>394543.498650227</v>
      </c>
      <c r="BL15" s="51" t="str">
        <f aca="false">IF(OR(AND(BK15&gt;BK14,BK15&gt;BK16),AND(BK15&lt;BK14,BK15&lt;BK16)),BK15,"")</f>
        <v/>
      </c>
    </row>
    <row r="16" customFormat="false" ht="15" hidden="false" customHeight="false" outlineLevel="0" collapsed="false">
      <c r="A16" s="20"/>
      <c r="B16" s="20"/>
      <c r="C16" s="20"/>
      <c r="D16" s="17" t="n">
        <v>15</v>
      </c>
      <c r="E16" s="17" t="n">
        <f aca="false">$E$2</f>
        <v>10</v>
      </c>
      <c r="F16" s="17" t="n">
        <f aca="false">$F$2</f>
        <v>2022</v>
      </c>
      <c r="H16" s="39" t="n">
        <f aca="false">AM16</f>
        <v>14.7829745837934</v>
      </c>
      <c r="I16" s="48" t="n">
        <f aca="false">H16+1.02/(TAN($G$6*(H16+10.3/(H16+5.11)))*60)</f>
        <v>14.845112942005</v>
      </c>
      <c r="J16" s="39" t="n">
        <f aca="false">100*(1+COS($G$6*AQ16))/2</f>
        <v>74.8840389357587</v>
      </c>
      <c r="K16" s="48" t="n">
        <f aca="false">IF(AI16&gt;180,AT16-180,AT16+180)</f>
        <v>51.573148802871</v>
      </c>
      <c r="L16" s="10" t="n">
        <f aca="false">L15+1</f>
        <v>2459867.5</v>
      </c>
      <c r="M16" s="49" t="n">
        <f aca="false">(L16-2451545)/36525</f>
        <v>0.227857631759069</v>
      </c>
      <c r="N16" s="10" t="n">
        <f aca="false">MOD(280.46061837+360.98564736629*(L16-2451545)+0.000387933*M16^2-M16^3/38710000+$G$4,360)</f>
        <v>23.5108444592915</v>
      </c>
      <c r="O16" s="24" t="n">
        <f aca="false">0.60643382+1336.85522467*M16 - 0.00000313*M16^2 - INT(0.60643382+1336.85522467*M16 - 0.00000313*M16^2)</f>
        <v>0.21909915553772</v>
      </c>
      <c r="P16" s="10" t="n">
        <f aca="false">22640*SIN(Q16)-4586*SIN(Q16-2*S16)+2370*SIN(2*S16)+769*SIN(2*Q16)-668*SIN(R16)-412*SIN(2*T16)-212*SIN(2*Q16-2*S16)-206*SIN(Q16+R16-2*S16)+192*SIN(Q16+2*S16)-165*SIN(R16-2*S16)-125*SIN(S16)-110*SIN(Q16+R16)+148*SIN(Q16-R16)-55*SIN(2*T16-2*S16)</f>
        <v>10744.1367842457</v>
      </c>
      <c r="Q16" s="18" t="n">
        <f aca="false">2*PI()*(0.374897+1325.55241*M16 - INT(0.374897+1325.55241*M16))</f>
        <v>2.58948862737244</v>
      </c>
      <c r="R16" s="26" t="n">
        <f aca="false">2*PI()*(0.993133+99.997361*M16 - INT(0.993133+99.997361*M16))</f>
        <v>4.89017082659705</v>
      </c>
      <c r="S16" s="26" t="n">
        <f aca="false">2*PI()*(0.827361+1236.853086*M16 - INT(0.827361+1236.853086*M16))</f>
        <v>4.10779581931525</v>
      </c>
      <c r="T16" s="26" t="n">
        <f aca="false">2*PI()*(0.259086+1342.227825*M16 - INT(0.259086+1342.227825*M16))</f>
        <v>0.602805566465377</v>
      </c>
      <c r="U16" s="26" t="n">
        <f aca="false">T16+(P16+412*SIN(2*T16)+541*SIN(R16))/206264.8062</f>
        <v>0.654178826692295</v>
      </c>
      <c r="V16" s="26" t="n">
        <f aca="false">T16-2*S16</f>
        <v>-7.61278607216513</v>
      </c>
      <c r="W16" s="25" t="n">
        <f aca="false">-526*SIN(V16)+44*SIN(Q16+V16)-31*SIN(-Q16+V16)-23*SIN(R16+V16)+11*SIN(-R16+V16)-25*SIN(-2*Q16+T16)+21*SIN(-Q16+T16)</f>
        <v>496.993713683217</v>
      </c>
      <c r="X16" s="26" t="n">
        <f aca="false">2*PI()*(O16+P16/1296000-INT(O16+P16/1296000))</f>
        <v>1.4287296399372</v>
      </c>
      <c r="Y16" s="26" t="n">
        <f aca="false">(18520*SIN(U16)+W16)/206264.8062</f>
        <v>0.0570458845539974</v>
      </c>
      <c r="Z16" s="26" t="n">
        <f aca="false">Y16*180/PI()</f>
        <v>3.26848842353458</v>
      </c>
      <c r="AA16" s="26" t="n">
        <f aca="false">COS(Y16)*COS(X16)</f>
        <v>0.141358961782642</v>
      </c>
      <c r="AB16" s="26" t="n">
        <f aca="false">COS(Y16)*SIN(X16)</f>
        <v>0.988315202482773</v>
      </c>
      <c r="AC16" s="26" t="n">
        <f aca="false">SIN(Y16)</f>
        <v>0.0570149494884442</v>
      </c>
      <c r="AD16" s="26" t="n">
        <f aca="false">COS($G$6*(23.4393-46.815*M16/3600))*AB16-SIN($G$6*(23.4393-46.815*M16/3600))*AC16</f>
        <v>0.88410519148142</v>
      </c>
      <c r="AE16" s="26" t="n">
        <f aca="false">SIN($G$6*(23.4393-46.815*M16/3600))*AB16+COS($G$6*(23.4393-46.815*M16/3600))*AC16</f>
        <v>0.445393819354663</v>
      </c>
      <c r="AF16" s="26" t="n">
        <f aca="false">SQRT(1-AE16*AE16)</f>
        <v>0.895334767380708</v>
      </c>
      <c r="AG16" s="10" t="n">
        <f aca="false">ATAN(AE16/AF16)/$G$6</f>
        <v>26.4485379655136</v>
      </c>
      <c r="AH16" s="26" t="n">
        <f aca="false">IF(24*ATAN(AD16/(AA16+AF16))/PI()&gt;0,24*ATAN(AD16/(AA16+AF16))/PI(),24*ATAN(AD16/(AA16+AF16))/PI()+24)</f>
        <v>5.39439382730399</v>
      </c>
      <c r="AI16" s="10" t="n">
        <f aca="false">IF(N16-15*AH16&gt;0,N16-15*AH16,360+N16-15*AH16)</f>
        <v>302.594937049732</v>
      </c>
      <c r="AJ16" s="18" t="n">
        <f aca="false">0.950724+0.051818*COS(Q16)+0.009531*COS(2*S16-Q16)+0.007843*COS(2*S16)+0.002824*COS(2*Q16)+0.000857*COS(2*S16+Q16)+0.000533*COS(2*S16-R16)+0.000401*COS(2*S16-R16-Q16)+0.00032*COS(Q16-R16)-0.000271*COS(S16)</f>
        <v>0.912198663730905</v>
      </c>
      <c r="AK16" s="50" t="n">
        <f aca="false">ASIN(COS($G$6*$G$2)*COS($G$6*AG16)*COS($G$6*AI16)+SIN($G$6*$G$2)*SIN($G$6*AG16))/$G$6</f>
        <v>15.6608598660981</v>
      </c>
      <c r="AL16" s="18" t="n">
        <f aca="false">ASIN((0.9983271+0.0016764*COS($G$6*2*$G$2))*COS($G$6*AK16)*SIN($G$6*AJ16))/$G$6</f>
        <v>0.877885282304649</v>
      </c>
      <c r="AM16" s="18" t="n">
        <f aca="false">AK16-AL16</f>
        <v>14.7829745837934</v>
      </c>
      <c r="AN16" s="10" t="n">
        <f aca="false"> IF(280.4664567 + 360007.6982779*M16/10 + 0.03032028*M16^2/100 + M16^3/49931000&lt;0,MOD(280.4664567 + 360007.6982779*M16/10 + 0.03032028*M16^2/100 + M16^3/49931000+360,360),MOD(280.4664567 + 360007.6982779*M16/10 + 0.03032028*M16^2/100 + M16^3/49931000,360))</f>
        <v>203.516626905834</v>
      </c>
      <c r="AO16" s="27" t="n">
        <f aca="false"> AN16 + (1.9146 - 0.004817*M16 - 0.000014*M16^2)*SIN(R16)+ (0.019993 - 0.000101*M16)*SIN(2*R16)+ 0.00029*SIN(3*R16)</f>
        <v>201.626582888871</v>
      </c>
      <c r="AP16" s="18" t="n">
        <f aca="false">ACOS(COS(X16-$G$6*AO16)*COS(Y16))/$G$6</f>
        <v>119.713114095038</v>
      </c>
      <c r="AQ16" s="25" t="n">
        <f aca="false">180 - AP16 -0.1468*(1-0.0549*SIN(R16))*SIN($G$6*AP16)/(1-0.0167*SIN($G$6*AO16))</f>
        <v>60.1533201916848</v>
      </c>
      <c r="AR16" s="25" t="n">
        <f aca="false">SIN($G$6*AI16)</f>
        <v>-0.842500002280318</v>
      </c>
      <c r="AS16" s="25" t="n">
        <f aca="false">COS($G$6*AI16)*SIN($G$6*$G$2) - TAN($G$6*AG16)*COS($G$6*$G$2)</f>
        <v>-0.668400375478973</v>
      </c>
      <c r="AT16" s="25" t="n">
        <f aca="false">IF(OR(AND(AR16*AS16&gt;0), AND(AR16&lt;0,AS16&gt;0)), MOD(ATAN2(AS16,AR16)/$G$6+360,360),  ATAN2(AS16,AR16)/$G$6)</f>
        <v>231.573148802871</v>
      </c>
      <c r="AU16" s="18" t="n">
        <f aca="false">IF((X16-X15)/$G$6&lt;0,(X16-X15)/$G$6+360,(X16-X15)/$G$6)</f>
        <v>12.1547327142403</v>
      </c>
      <c r="AV16" s="29" t="n">
        <f aca="false">(1+SIN($G$6*H16)*SIN($G$6*AJ16))*120*ASIN(0.272481*SIN($G$6*AJ16))/$G$6</f>
        <v>29.9468069460887</v>
      </c>
      <c r="AW16" s="10" t="n">
        <f aca="false">COS(X16)</f>
        <v>0.141589281565291</v>
      </c>
      <c r="AX16" s="10" t="n">
        <f aca="false">SIN(X16)</f>
        <v>0.989925489794977</v>
      </c>
      <c r="AY16" s="30" t="n">
        <f aca="false"> 385000.56 + (-20905355*COS(Q16) - 3699111*COS(2*S16-Q16) - 2955968*COS(2*S16) - 569925*COS(2*Q16) + (1-0.002516*M16)*48888*COS(R16) - 3149*COS(2*T16)  +246158*COS(2*S16-2*Q16) -(1-0.002516*M16)*152138*COS(2*S16-R16-Q16) -170733*COS(2*S16+Q16) -(1-0.002516*M16)*204586*COS(2*S16-R16) -(1-0.002516*M16)*129620*COS(R16-Q16)  + 108743*COS(S16) +(1-0.002516*M16)*104755*COS(R16+Q16) +10321*COS(2*S16-2*T16) +79661*COS(Q16-2*T16) -34782*COS(4*S16-Q16) -23210*COS(3*Q16)  -21636*COS(4*S16-2*Q16) +(1-0.002516*M16)*24208*COS(2*S16+R16-Q16) +(1-0.002516*M16)*30824*COS(2*S16+R16) -8379*COS(S16-Q16) -(1-0.002516*M16)*16675*COS(S16+R16)  -(1-0.002516*M16)*12831*COS(2*S16-R16+Q16) -10445*COS(2*S16+2*Q16) -11650*COS(4*S16) +14403*COS(2*S16-3*Q16) -(1-0.002516*M16)*7003*COS(R16-2*Q16)  + (1-0.002516*M16)*10056*COS(2*S16-R16-2*Q16) +6322*COS(S16+Q16) -(1-0.002516*M16)*(1-0.002516*M16)*9884*COS(2*S16-2*R16) +(1-0.002516*M16)*5751*COS(R16+2*Q16) -(1-0.002516*M16)*(1-0.002516*M16)*4950*COS(2*S16-2*R16-Q16)  +4130*COS(2*S16+Q16-2*T16) -(1-0.002516*M16)*3958*COS(4*S16-R16-Q16) +3258*COS(3*S16-Q16) +(1-0.002516*M16)*2616*COS(2*S16+R16+Q16) -(1-0.002516*M16)*1897*COS(4*S16-R16-2*Q16)  -(1-0.002516*M16)*(1-0.002516*M16)*2117*COS(2*R16-Q16) +(1-0.002516*M16)*(1-0.002516*M16)*2354*COS(2*S16+2*R16-Q16) -1423*COS(4*S16+Q16) -1117*COS(4*Q16) -(1-0.002516*M16)*1571*COS(4*S16-R16)  -1739*COS(S16-2*Q16) -4421*COS(2*Q16-2*T16) +(1-0.002516*M16)*(1-0.002516*M16)*1165*COS(2*R16+Q16) +8752*COS(2*S16-Q16-2*T16))/1000</f>
        <v>400625.949580846</v>
      </c>
      <c r="AZ16" s="17" t="n">
        <f aca="false">AZ15+1</f>
        <v>288</v>
      </c>
      <c r="BA16" s="17" t="n">
        <v>15</v>
      </c>
      <c r="BB16" s="32" t="n">
        <f aca="false">ATAN(0.99664719*TAN($G$6*input!$E$2))</f>
        <v>-0.400219206115995</v>
      </c>
      <c r="BC16" s="32" t="n">
        <f aca="false">COS(BB16)</f>
        <v>0.920975608992155</v>
      </c>
      <c r="BD16" s="32" t="n">
        <f aca="false">0.99664719*SIN(BB16)</f>
        <v>-0.388313912533463</v>
      </c>
      <c r="BE16" s="32" t="n">
        <f aca="false">6378.14/AY16</f>
        <v>0.0159204365235779</v>
      </c>
      <c r="BF16" s="33" t="n">
        <f aca="false">N16-15*AH16</f>
        <v>-57.4050629502684</v>
      </c>
      <c r="BG16" s="27" t="n">
        <f aca="false">COS($G$6*AG16)*SIN($G$6*BF16)</f>
        <v>-0.754319543559895</v>
      </c>
      <c r="BH16" s="27" t="n">
        <f aca="false">COS($G$6*AG16)*COS($G$6*BF16)-BC16*BE16</f>
        <v>0.467651228064894</v>
      </c>
      <c r="BI16" s="27" t="n">
        <f aca="false">SIN($G$6*AG16)-BD16*BE16</f>
        <v>0.451575946350374</v>
      </c>
      <c r="BJ16" s="46" t="n">
        <f aca="false">SQRT(BG16^2+BH16^2+BI16^2)</f>
        <v>0.995799417668663</v>
      </c>
      <c r="BK16" s="35" t="n">
        <f aca="false">AY16*BJ16</f>
        <v>398943.087295562</v>
      </c>
      <c r="BL16" s="51" t="str">
        <f aca="false">IF(OR(AND(BK16&gt;BK15,BK16&gt;BK17),AND(BK16&lt;BK15,BK16&lt;BK17)),BK16,"")</f>
        <v/>
      </c>
    </row>
    <row r="17" customFormat="false" ht="15" hidden="false" customHeight="false" outlineLevel="0" collapsed="false">
      <c r="A17" s="20"/>
      <c r="B17" s="20"/>
      <c r="C17" s="20"/>
      <c r="D17" s="17" t="n">
        <v>16</v>
      </c>
      <c r="E17" s="17" t="n">
        <f aca="false">$E$2</f>
        <v>10</v>
      </c>
      <c r="F17" s="17" t="n">
        <f aca="false">$F$2</f>
        <v>2022</v>
      </c>
      <c r="H17" s="39" t="n">
        <f aca="false">AM17</f>
        <v>4.9354704560677</v>
      </c>
      <c r="I17" s="48" t="n">
        <f aca="false">H17+1.02/(TAN($G$6*(H17+10.3/(H17+5.11)))*60)</f>
        <v>5.09828589506565</v>
      </c>
      <c r="J17" s="39" t="n">
        <f aca="false">100*(1+COS($G$6*AQ17))/2</f>
        <v>66.1671592461193</v>
      </c>
      <c r="K17" s="48" t="n">
        <f aca="false">IF(AI17&gt;180,AT17-180,AT17+180)</f>
        <v>56.8752173924366</v>
      </c>
      <c r="L17" s="10" t="n">
        <f aca="false">L16+1</f>
        <v>2459868.5</v>
      </c>
      <c r="M17" s="49" t="n">
        <f aca="false">(L17-2451545)/36525</f>
        <v>0.22788501026694</v>
      </c>
      <c r="N17" s="10" t="n">
        <f aca="false">MOD(280.46061837+360.98564736629*(L17-2451545)+0.000387933*M17^2-M17^3/38710000+$G$4,360)</f>
        <v>24.4964918303303</v>
      </c>
      <c r="O17" s="24" t="n">
        <f aca="false">0.60643382+1336.85522467*M17 - 0.00000313*M17^2 - INT(0.60643382+1336.85522467*M17 - 0.00000313*M17^2)</f>
        <v>0.255700256790078</v>
      </c>
      <c r="P17" s="10" t="n">
        <f aca="false">22640*SIN(Q17)-4586*SIN(Q17-2*S17)+2370*SIN(2*S17)+769*SIN(2*Q17)-668*SIN(R17)-412*SIN(2*T17)-212*SIN(2*Q17-2*S17)-206*SIN(Q17+R17-2*S17)+192*SIN(Q17+2*S17)-165*SIN(R17-2*S17)-125*SIN(S17)-110*SIN(Q17+R17)+148*SIN(Q17-R17)-55*SIN(2*T17-2*S17)</f>
        <v>6470.22358356273</v>
      </c>
      <c r="Q17" s="18" t="n">
        <f aca="false">2*PI()*(0.374897+1325.55241*M17 - INT(0.374897+1325.55241*M17))</f>
        <v>2.81751577114825</v>
      </c>
      <c r="R17" s="26" t="n">
        <f aca="false">2*PI()*(0.993133+99.997361*M17 - INT(0.993133+99.997361*M17))</f>
        <v>4.90737279646404</v>
      </c>
      <c r="S17" s="26" t="n">
        <f aca="false">2*PI()*(0.827361+1236.853086*M17 - INT(0.827361+1236.853086*M17))</f>
        <v>4.32056452943428</v>
      </c>
      <c r="T17" s="26" t="n">
        <f aca="false">2*PI()*(0.259086+1342.227825*M17 - INT(0.259086+1342.227825*M17))</f>
        <v>0.833701285806381</v>
      </c>
      <c r="U17" s="26" t="n">
        <f aca="false">T17+(P17+412*SIN(2*T17)+541*SIN(R17))/206264.8062</f>
        <v>0.864484792502041</v>
      </c>
      <c r="V17" s="26" t="n">
        <f aca="false">T17-2*S17</f>
        <v>-7.80742777306217</v>
      </c>
      <c r="W17" s="25" t="n">
        <f aca="false">-526*SIN(V17)+44*SIN(Q17+V17)-31*SIN(-Q17+V17)-23*SIN(R17+V17)+11*SIN(-R17+V17)-25*SIN(-2*Q17+T17)+21*SIN(-Q17+T17)</f>
        <v>498.590867933416</v>
      </c>
      <c r="X17" s="26" t="n">
        <f aca="false">2*PI()*(O17+P17/1296000-INT(O17+P17/1296000))</f>
        <v>1.63798062563695</v>
      </c>
      <c r="Y17" s="26" t="n">
        <f aca="false">(18520*SIN(U17)+W17)/206264.8062</f>
        <v>0.070724058341981</v>
      </c>
      <c r="Z17" s="26" t="n">
        <f aca="false">Y17*180/PI()</f>
        <v>4.05219005303252</v>
      </c>
      <c r="AA17" s="26" t="n">
        <f aca="false">COS(Y17)*COS(X17)</f>
        <v>-0.0669659403118023</v>
      </c>
      <c r="AB17" s="26" t="n">
        <f aca="false">COS(Y17)*SIN(X17)</f>
        <v>0.995249719664637</v>
      </c>
      <c r="AC17" s="26" t="n">
        <f aca="false">SIN(Y17)</f>
        <v>0.0706651140635721</v>
      </c>
      <c r="AD17" s="26" t="n">
        <f aca="false">COS($G$6*(23.4393-46.815*M17/3600))*AB17-SIN($G$6*(23.4393-46.815*M17/3600))*AC17</f>
        <v>0.885038553782951</v>
      </c>
      <c r="AE17" s="26" t="n">
        <f aca="false">SIN($G$6*(23.4393-46.815*M17/3600))*AB17+COS($G$6*(23.4393-46.815*M17/3600))*AC17</f>
        <v>0.460675939415049</v>
      </c>
      <c r="AF17" s="26" t="n">
        <f aca="false">SQRT(1-AE17*AE17)</f>
        <v>0.88756840797995</v>
      </c>
      <c r="AG17" s="10" t="n">
        <f aca="false">ATAN(AE17/AF17)/$G$6</f>
        <v>27.4307332422599</v>
      </c>
      <c r="AH17" s="26" t="n">
        <f aca="false">IF(24*ATAN(AD17/(AA17+AF17))/PI()&gt;0,24*ATAN(AD17/(AA17+AF17))/PI(),24*ATAN(AD17/(AA17+AF17))/PI()+24)</f>
        <v>6.28846718065824</v>
      </c>
      <c r="AI17" s="10" t="n">
        <f aca="false">IF(N17-15*AH17&gt;0,N17-15*AH17,360+N17-15*AH17)</f>
        <v>290.169484120457</v>
      </c>
      <c r="AJ17" s="18" t="n">
        <f aca="false">0.950724+0.051818*COS(Q17)+0.009531*COS(2*S17-Q17)+0.007843*COS(2*S17)+0.002824*COS(2*Q17)+0.000857*COS(2*S17+Q17)+0.000533*COS(2*S17-R17)+0.000401*COS(2*S17-R17-Q17)+0.00032*COS(Q17-R17)-0.000271*COS(S17)</f>
        <v>0.906970679150965</v>
      </c>
      <c r="AK17" s="50" t="n">
        <f aca="false">ASIN(COS($G$6*$G$2)*COS($G$6*AG17)*COS($G$6*AI17)+SIN($G$6*$G$2)*SIN($G$6*AG17))/$G$6</f>
        <v>5.83727914479035</v>
      </c>
      <c r="AL17" s="18" t="n">
        <f aca="false">ASIN((0.9983271+0.0016764*COS($G$6*2*$G$2))*COS($G$6*AK17)*SIN($G$6*AJ17))/$G$6</f>
        <v>0.901808688722652</v>
      </c>
      <c r="AM17" s="18" t="n">
        <f aca="false">AK17-AL17</f>
        <v>4.9354704560677</v>
      </c>
      <c r="AN17" s="10" t="n">
        <f aca="false"> IF(280.4664567 + 360007.6982779*M17/10 + 0.03032028*M17^2/100 + M17^3/49931000&lt;0,MOD(280.4664567 + 360007.6982779*M17/10 + 0.03032028*M17^2/100 + M17^3/49931000+360,360),MOD(280.4664567 + 360007.6982779*M17/10 + 0.03032028*M17^2/100 + M17^3/49931000,360))</f>
        <v>204.50227426972</v>
      </c>
      <c r="AO17" s="27" t="n">
        <f aca="false"> AN17 + (1.9146 - 0.004817*M17 - 0.000014*M17^2)*SIN(R17)+ (0.019993 - 0.000101*M17)*SIN(2*R17)+ 0.00029*SIN(3*R17)</f>
        <v>202.617682057969</v>
      </c>
      <c r="AP17" s="18" t="n">
        <f aca="false">ACOS(COS(X17-$G$6*AO17)*COS(Y17))/$G$6</f>
        <v>108.719639889426</v>
      </c>
      <c r="AQ17" s="25" t="n">
        <f aca="false">180 - AP17 -0.1468*(1-0.0549*SIN(R17))*SIN($G$6*AP17)/(1-0.0167*SIN($G$6*AO17))</f>
        <v>71.1347724727174</v>
      </c>
      <c r="AR17" s="25" t="n">
        <f aca="false">SIN($G$6*AI17)</f>
        <v>-0.938676796350771</v>
      </c>
      <c r="AS17" s="25" t="n">
        <f aca="false">COS($G$6*AI17)*SIN($G$6*$G$2) - TAN($G$6*AG17)*COS($G$6*$G$2)</f>
        <v>-0.612494422571904</v>
      </c>
      <c r="AT17" s="25" t="n">
        <f aca="false">IF(OR(AND(AR17*AS17&gt;0), AND(AR17&lt;0,AS17&gt;0)), MOD(ATAN2(AS17,AR17)/$G$6+360,360),  ATAN2(AS17,AR17)/$G$6)</f>
        <v>236.875217392437</v>
      </c>
      <c r="AU17" s="18" t="n">
        <f aca="false">IF((X17-X16)/$G$6&lt;0,(X17-X16)/$G$6+360,(X17-X16)/$G$6)</f>
        <v>11.9891983395483</v>
      </c>
      <c r="AV17" s="29" t="n">
        <f aca="false">(1+SIN($G$6*H17)*SIN($G$6*AJ17))*120*ASIN(0.272481*SIN($G$6*AJ17))/$G$6</f>
        <v>29.6951112980133</v>
      </c>
      <c r="AW17" s="10" t="n">
        <f aca="false">COS(X17)</f>
        <v>-0.0671337682831466</v>
      </c>
      <c r="AX17" s="10" t="n">
        <f aca="false">SIN(X17)</f>
        <v>0.997743983773445</v>
      </c>
      <c r="AY17" s="30" t="n">
        <f aca="false"> 385000.56 + (-20905355*COS(Q17) - 3699111*COS(2*S17-Q17) - 2955968*COS(2*S17) - 569925*COS(2*Q17) + (1-0.002516*M17)*48888*COS(R17) - 3149*COS(2*T17)  +246158*COS(2*S17-2*Q17) -(1-0.002516*M17)*152138*COS(2*S17-R17-Q17) -170733*COS(2*S17+Q17) -(1-0.002516*M17)*204586*COS(2*S17-R17) -(1-0.002516*M17)*129620*COS(R17-Q17)  + 108743*COS(S17) +(1-0.002516*M17)*104755*COS(R17+Q17) +10321*COS(2*S17-2*T17) +79661*COS(Q17-2*T17) -34782*COS(4*S17-Q17) -23210*COS(3*Q17)  -21636*COS(4*S17-2*Q17) +(1-0.002516*M17)*24208*COS(2*S17+R17-Q17) +(1-0.002516*M17)*30824*COS(2*S17+R17) -8379*COS(S17-Q17) -(1-0.002516*M17)*16675*COS(S17+R17)  -(1-0.002516*M17)*12831*COS(2*S17-R17+Q17) -10445*COS(2*S17+2*Q17) -11650*COS(4*S17) +14403*COS(2*S17-3*Q17) -(1-0.002516*M17)*7003*COS(R17-2*Q17)  + (1-0.002516*M17)*10056*COS(2*S17-R17-2*Q17) +6322*COS(S17+Q17) -(1-0.002516*M17)*(1-0.002516*M17)*9884*COS(2*S17-2*R17) +(1-0.002516*M17)*5751*COS(R17+2*Q17) -(1-0.002516*M17)*(1-0.002516*M17)*4950*COS(2*S17-2*R17-Q17)  +4130*COS(2*S17+Q17-2*T17) -(1-0.002516*M17)*3958*COS(4*S17-R17-Q17) +3258*COS(3*S17-Q17) +(1-0.002516*M17)*2616*COS(2*S17+R17+Q17) -(1-0.002516*M17)*1897*COS(4*S17-R17-2*Q17)  -(1-0.002516*M17)*(1-0.002516*M17)*2117*COS(2*R17-Q17) +(1-0.002516*M17)*(1-0.002516*M17)*2354*COS(2*S17+2*R17-Q17) -1423*COS(4*S17+Q17) -1117*COS(4*Q17) -(1-0.002516*M17)*1571*COS(4*S17-R17)  -1739*COS(S17-2*Q17) -4421*COS(2*Q17-2*T17) +(1-0.002516*M17)*(1-0.002516*M17)*1165*COS(2*R17+Q17) +8752*COS(2*S17-Q17-2*T17))/1000</f>
        <v>403005.458617671</v>
      </c>
      <c r="AZ17" s="17" t="n">
        <f aca="false">AZ16+1</f>
        <v>289</v>
      </c>
      <c r="BA17" s="17" t="n">
        <v>16</v>
      </c>
      <c r="BB17" s="32" t="n">
        <f aca="false">ATAN(0.99664719*TAN($G$6*input!$E$2))</f>
        <v>-0.400219206115995</v>
      </c>
      <c r="BC17" s="32" t="n">
        <f aca="false">COS(BB17)</f>
        <v>0.920975608992155</v>
      </c>
      <c r="BD17" s="32" t="n">
        <f aca="false">0.99664719*SIN(BB17)</f>
        <v>-0.388313912533463</v>
      </c>
      <c r="BE17" s="32" t="n">
        <f aca="false">6378.14/AY17</f>
        <v>0.0158264357556777</v>
      </c>
      <c r="BF17" s="33" t="n">
        <f aca="false">N17-15*AH17</f>
        <v>-69.8305158795432</v>
      </c>
      <c r="BG17" s="27" t="n">
        <f aca="false">COS($G$6*AG17)*SIN($G$6*BF17)</f>
        <v>-0.833139869744773</v>
      </c>
      <c r="BH17" s="27" t="n">
        <f aca="false">COS($G$6*AG17)*COS($G$6*BF17)-BC17*BE17</f>
        <v>0.291456322443958</v>
      </c>
      <c r="BI17" s="27" t="n">
        <f aca="false">SIN($G$6*AG17)-BD17*BE17</f>
        <v>0.466821564604796</v>
      </c>
      <c r="BJ17" s="46" t="n">
        <f aca="false">SQRT(BG17^2+BH17^2+BI17^2)</f>
        <v>0.998494468502937</v>
      </c>
      <c r="BK17" s="35" t="n">
        <f aca="false">AY17*BJ17</f>
        <v>402398.721206234</v>
      </c>
      <c r="BL17" s="51" t="str">
        <f aca="false">IF(OR(AND(BK17&gt;BK16,BK17&gt;BK18),AND(BK17&lt;BK16,BK17&lt;BK18)),BK17,"")</f>
        <v/>
      </c>
    </row>
    <row r="18" customFormat="false" ht="15" hidden="false" customHeight="false" outlineLevel="0" collapsed="false">
      <c r="A18" s="20"/>
      <c r="B18" s="20"/>
      <c r="C18" s="20"/>
      <c r="D18" s="17" t="n">
        <v>17</v>
      </c>
      <c r="E18" s="17" t="n">
        <f aca="false">$E$2</f>
        <v>10</v>
      </c>
      <c r="F18" s="17" t="n">
        <f aca="false">$F$2</f>
        <v>2022</v>
      </c>
      <c r="H18" s="39" t="n">
        <f aca="false">AM18</f>
        <v>-4.75390999511629</v>
      </c>
      <c r="I18" s="48" t="n">
        <f aca="false">H18+1.02/(TAN($G$6*(H18+10.3/(H18+5.11)))*60)</f>
        <v>-4.71603265542886</v>
      </c>
      <c r="J18" s="39" t="n">
        <f aca="false">100*(1+COS($G$6*AQ18))/2</f>
        <v>56.947413270073</v>
      </c>
      <c r="K18" s="48" t="n">
        <f aca="false">IF(AI18&gt;180,AT18-180,AT18+180)</f>
        <v>62.100955414123</v>
      </c>
      <c r="L18" s="10" t="n">
        <f aca="false">L17+1</f>
        <v>2459869.5</v>
      </c>
      <c r="M18" s="49" t="n">
        <f aca="false">(L18-2451545)/36525</f>
        <v>0.227912388774812</v>
      </c>
      <c r="N18" s="10" t="n">
        <f aca="false">MOD(280.46061837+360.98564736629*(L18-2451545)+0.000387933*M18^2-M18^3/38710000+$G$4,360)</f>
        <v>25.4821392018348</v>
      </c>
      <c r="O18" s="24" t="n">
        <f aca="false">0.60643382+1336.85522467*M18 - 0.00000313*M18^2 - INT(0.60643382+1336.85522467*M18 - 0.00000313*M18^2)</f>
        <v>0.292301358042494</v>
      </c>
      <c r="P18" s="10" t="n">
        <f aca="false">22640*SIN(Q18)-4586*SIN(Q18-2*S18)+2370*SIN(2*S18)+769*SIN(2*Q18)-668*SIN(R18)-412*SIN(2*T18)-212*SIN(2*Q18-2*S18)-206*SIN(Q18+R18-2*S18)+192*SIN(Q18+2*S18)-165*SIN(R18-2*S18)-125*SIN(S18)-110*SIN(Q18+R18)+148*SIN(Q18-R18)-55*SIN(2*T18-2*S18)</f>
        <v>1871.96847242358</v>
      </c>
      <c r="Q18" s="18" t="n">
        <f aca="false">2*PI()*(0.374897+1325.55241*M18 - INT(0.374897+1325.55241*M18))</f>
        <v>3.04554291492407</v>
      </c>
      <c r="R18" s="26" t="n">
        <f aca="false">2*PI()*(0.993133+99.997361*M18 - INT(0.993133+99.997361*M18))</f>
        <v>4.92457476633104</v>
      </c>
      <c r="S18" s="26" t="n">
        <f aca="false">2*PI()*(0.827361+1236.853086*M18 - INT(0.827361+1236.853086*M18))</f>
        <v>4.5333332395533</v>
      </c>
      <c r="T18" s="26" t="n">
        <f aca="false">2*PI()*(0.259086+1342.227825*M18 - INT(0.259086+1342.227825*M18))</f>
        <v>1.06459700514739</v>
      </c>
      <c r="U18" s="26" t="n">
        <f aca="false">T18+(P18+412*SIN(2*T18)+541*SIN(R18))/206264.8062</f>
        <v>1.07280257773562</v>
      </c>
      <c r="V18" s="26" t="n">
        <f aca="false">T18-2*S18</f>
        <v>-8.00206947395921</v>
      </c>
      <c r="W18" s="25" t="n">
        <f aca="false">-526*SIN(V18)+44*SIN(Q18+V18)-31*SIN(-Q18+V18)-23*SIN(R18+V18)+11*SIN(-R18+V18)-25*SIN(-2*Q18+T18)+21*SIN(-Q18+T18)</f>
        <v>486.540388189882</v>
      </c>
      <c r="X18" s="26" t="n">
        <f aca="false">2*PI()*(O18+P18/1296000-INT(O18+P18/1296000))</f>
        <v>1.8456591573816</v>
      </c>
      <c r="Y18" s="26" t="n">
        <f aca="false">(18520*SIN(U18)+W18)/206264.8062</f>
        <v>0.0812409564472889</v>
      </c>
      <c r="Z18" s="26" t="n">
        <f aca="false">Y18*180/PI()</f>
        <v>4.65476392803579</v>
      </c>
      <c r="AA18" s="26" t="n">
        <f aca="false">COS(Y18)*COS(X18)</f>
        <v>-0.270519729771346</v>
      </c>
      <c r="AB18" s="26" t="n">
        <f aca="false">COS(Y18)*SIN(X18)</f>
        <v>0.959288012245057</v>
      </c>
      <c r="AC18" s="26" t="n">
        <f aca="false">SIN(Y18)</f>
        <v>0.0811516196225658</v>
      </c>
      <c r="AD18" s="26" t="n">
        <f aca="false">COS($G$6*(23.4393-46.815*M18/3600))*AB18-SIN($G$6*(23.4393-46.815*M18/3600))*AC18</f>
        <v>0.84787280131321</v>
      </c>
      <c r="AE18" s="26" t="n">
        <f aca="false">SIN($G$6*(23.4393-46.815*M18/3600))*AB18+COS($G$6*(23.4393-46.815*M18/3600))*AC18</f>
        <v>0.455994285707319</v>
      </c>
      <c r="AF18" s="26" t="n">
        <f aca="false">SQRT(1-AE18*AE18)</f>
        <v>0.8899827028669</v>
      </c>
      <c r="AG18" s="10" t="n">
        <f aca="false">ATAN(AE18/AF18)/$G$6</f>
        <v>27.1289265862069</v>
      </c>
      <c r="AH18" s="26" t="n">
        <f aca="false">IF(24*ATAN(AD18/(AA18+AF18))/PI()&gt;0,24*ATAN(AD18/(AA18+AF18))/PI(),24*ATAN(AD18/(AA18+AF18))/PI()+24)</f>
        <v>7.17970971039215</v>
      </c>
      <c r="AI18" s="10" t="n">
        <f aca="false">IF(N18-15*AH18&gt;0,N18-15*AH18,360+N18-15*AH18)</f>
        <v>277.786493545953</v>
      </c>
      <c r="AJ18" s="18" t="n">
        <f aca="false">0.950724+0.051818*COS(Q18)+0.009531*COS(2*S18-Q18)+0.007843*COS(2*S18)+0.002824*COS(2*Q18)+0.000857*COS(2*S18+Q18)+0.000533*COS(2*S18-R18)+0.000401*COS(2*S18-R18-Q18)+0.00032*COS(Q18-R18)-0.000271*COS(S18)</f>
        <v>0.904393720081452</v>
      </c>
      <c r="AK18" s="50" t="n">
        <f aca="false">ASIN(COS($G$6*$G$2)*COS($G$6*AG18)*COS($G$6*AI18)+SIN($G$6*$G$2)*SIN($G$6*AG18))/$G$6</f>
        <v>-3.8520183412879</v>
      </c>
      <c r="AL18" s="18" t="n">
        <f aca="false">ASIN((0.9983271+0.0016764*COS($G$6*2*$G$2))*COS($G$6*AK18)*SIN($G$6*AJ18))/$G$6</f>
        <v>0.901891653828389</v>
      </c>
      <c r="AM18" s="18" t="n">
        <f aca="false">AK18-AL18</f>
        <v>-4.75390999511629</v>
      </c>
      <c r="AN18" s="10" t="n">
        <f aca="false"> IF(280.4664567 + 360007.6982779*M18/10 + 0.03032028*M18^2/100 + M18^3/49931000&lt;0,MOD(280.4664567 + 360007.6982779*M18/10 + 0.03032028*M18^2/100 + M18^3/49931000+360,360),MOD(280.4664567 + 360007.6982779*M18/10 + 0.03032028*M18^2/100 + M18^3/49931000,360))</f>
        <v>205.487921633607</v>
      </c>
      <c r="AO18" s="27" t="n">
        <f aca="false"> AN18 + (1.9146 - 0.004817*M18 - 0.000014*M18^2)*SIN(R18)+ (0.019993 - 0.000101*M18)*SIN(2*R18)+ 0.00029*SIN(3*R18)</f>
        <v>203.609345044409</v>
      </c>
      <c r="AP18" s="18" t="n">
        <f aca="false">ACOS(COS(X18-$G$6*AO18)*COS(Y18))/$G$6</f>
        <v>97.8347748599285</v>
      </c>
      <c r="AQ18" s="25" t="n">
        <f aca="false">180 - AP18 -0.1468*(1-0.0549*SIN(R18))*SIN($G$6*AP18)/(1-0.0167*SIN($G$6*AO18))</f>
        <v>82.0130085212153</v>
      </c>
      <c r="AR18" s="25" t="n">
        <f aca="false">SIN($G$6*AI18)</f>
        <v>-0.990779805459404</v>
      </c>
      <c r="AS18" s="25" t="n">
        <f aca="false">COS($G$6*AI18)*SIN($G$6*$G$2) - TAN($G$6*AG18)*COS($G$6*$G$2)</f>
        <v>-0.524569750654955</v>
      </c>
      <c r="AT18" s="25" t="n">
        <f aca="false">IF(OR(AND(AR18*AS18&gt;0), AND(AR18&lt;0,AS18&gt;0)), MOD(ATAN2(AS18,AR18)/$G$6+360,360),  ATAN2(AS18,AR18)/$G$6)</f>
        <v>242.100955414123</v>
      </c>
      <c r="AU18" s="18" t="n">
        <f aca="false">IF((X18-X17)/$G$6&lt;0,(X18-X17)/$G$6+360,(X18-X17)/$G$6)</f>
        <v>11.899103364442</v>
      </c>
      <c r="AV18" s="29" t="n">
        <f aca="false">(1+SIN($G$6*H18)*SIN($G$6*AJ18))*120*ASIN(0.272481*SIN($G$6*AJ18))/$G$6</f>
        <v>29.5317941610733</v>
      </c>
      <c r="AW18" s="10" t="n">
        <f aca="false">COS(X18)</f>
        <v>-0.27141491910219</v>
      </c>
      <c r="AX18" s="10" t="n">
        <f aca="false">SIN(X18)</f>
        <v>0.962462436507915</v>
      </c>
      <c r="AY18" s="30" t="n">
        <f aca="false"> 385000.56 + (-20905355*COS(Q18) - 3699111*COS(2*S18-Q18) - 2955968*COS(2*S18) - 569925*COS(2*Q18) + (1-0.002516*M18)*48888*COS(R18) - 3149*COS(2*T18)  +246158*COS(2*S18-2*Q18) -(1-0.002516*M18)*152138*COS(2*S18-R18-Q18) -170733*COS(2*S18+Q18) -(1-0.002516*M18)*204586*COS(2*S18-R18) -(1-0.002516*M18)*129620*COS(R18-Q18)  + 108743*COS(S18) +(1-0.002516*M18)*104755*COS(R18+Q18) +10321*COS(2*S18-2*T18) +79661*COS(Q18-2*T18) -34782*COS(4*S18-Q18) -23210*COS(3*Q18)  -21636*COS(4*S18-2*Q18) +(1-0.002516*M18)*24208*COS(2*S18+R18-Q18) +(1-0.002516*M18)*30824*COS(2*S18+R18) -8379*COS(S18-Q18) -(1-0.002516*M18)*16675*COS(S18+R18)  -(1-0.002516*M18)*12831*COS(2*S18-R18+Q18) -10445*COS(2*S18+2*Q18) -11650*COS(4*S18) +14403*COS(2*S18-3*Q18) -(1-0.002516*M18)*7003*COS(R18-2*Q18)  + (1-0.002516*M18)*10056*COS(2*S18-R18-2*Q18) +6322*COS(S18+Q18) -(1-0.002516*M18)*(1-0.002516*M18)*9884*COS(2*S18-2*R18) +(1-0.002516*M18)*5751*COS(R18+2*Q18) -(1-0.002516*M18)*(1-0.002516*M18)*4950*COS(2*S18-2*R18-Q18)  +4130*COS(2*S18+Q18-2*T18) -(1-0.002516*M18)*3958*COS(4*S18-R18-Q18) +3258*COS(3*S18-Q18) +(1-0.002516*M18)*2616*COS(2*S18+R18+Q18) -(1-0.002516*M18)*1897*COS(4*S18-R18-2*Q18)  -(1-0.002516*M18)*(1-0.002516*M18)*2117*COS(2*R18-Q18) +(1-0.002516*M18)*(1-0.002516*M18)*2354*COS(2*S18+2*R18-Q18) -1423*COS(4*S18+Q18) -1117*COS(4*Q18) -(1-0.002516*M18)*1571*COS(4*S18-R18)  -1739*COS(S18-2*Q18) -4421*COS(2*Q18-2*T18) +(1-0.002516*M18)*(1-0.002516*M18)*1165*COS(2*R18+Q18) +8752*COS(2*S18-Q18-2*T18))/1000</f>
        <v>404205.102359907</v>
      </c>
      <c r="AZ18" s="17" t="n">
        <f aca="false">AZ17+1</f>
        <v>290</v>
      </c>
      <c r="BA18" s="17" t="n">
        <v>17</v>
      </c>
      <c r="BB18" s="32" t="n">
        <f aca="false">ATAN(0.99664719*TAN($G$6*input!$E$2))</f>
        <v>-0.400219206115995</v>
      </c>
      <c r="BC18" s="32" t="n">
        <f aca="false">COS(BB18)</f>
        <v>0.920975608992155</v>
      </c>
      <c r="BD18" s="32" t="n">
        <f aca="false">0.99664719*SIN(BB18)</f>
        <v>-0.388313912533463</v>
      </c>
      <c r="BE18" s="32" t="n">
        <f aca="false">6378.14/AY18</f>
        <v>0.0157794643431316</v>
      </c>
      <c r="BF18" s="33" t="n">
        <f aca="false">N18-15*AH18</f>
        <v>-82.2135064540475</v>
      </c>
      <c r="BG18" s="27" t="n">
        <f aca="false">COS($G$6*AG18)*SIN($G$6*BF18)</f>
        <v>-0.881776889208701</v>
      </c>
      <c r="BH18" s="27" t="n">
        <f aca="false">COS($G$6*AG18)*COS($G$6*BF18)-BC18*BE18</f>
        <v>0.106044150433347</v>
      </c>
      <c r="BI18" s="27" t="n">
        <f aca="false">SIN($G$6*AG18)-BD18*BE18</f>
        <v>0.462121671244083</v>
      </c>
      <c r="BJ18" s="46" t="n">
        <f aca="false">SQRT(BG18^2+BH18^2+BI18^2)</f>
        <v>1.00116546245719</v>
      </c>
      <c r="BK18" s="35" t="n">
        <f aca="false">AY18*BJ18</f>
        <v>404676.188231714</v>
      </c>
      <c r="BL18" s="51" t="str">
        <f aca="false">IF(OR(AND(BK18&gt;BK17,BK18&gt;BK19),AND(BK18&lt;BK17,BK18&lt;BK19)),BK18,"")</f>
        <v/>
      </c>
    </row>
    <row r="19" customFormat="false" ht="15" hidden="false" customHeight="false" outlineLevel="0" collapsed="false">
      <c r="A19" s="20"/>
      <c r="B19" s="20"/>
      <c r="C19" s="20"/>
      <c r="D19" s="17" t="n">
        <v>18</v>
      </c>
      <c r="E19" s="17" t="n">
        <f aca="false">$E$2</f>
        <v>10</v>
      </c>
      <c r="F19" s="17" t="n">
        <f aca="false">$F$2</f>
        <v>2022</v>
      </c>
      <c r="H19" s="39" t="n">
        <f aca="false">AM19</f>
        <v>-14.2734758636986</v>
      </c>
      <c r="I19" s="48" t="n">
        <f aca="false">H19+1.02/(TAN($G$6*(H19+10.3/(H19+5.11)))*60)</f>
        <v>-14.335204479944</v>
      </c>
      <c r="J19" s="39" t="n">
        <f aca="false">100*(1+COS($G$6*AQ19))/2</f>
        <v>47.4997903903907</v>
      </c>
      <c r="K19" s="48" t="n">
        <f aca="false">IF(AI19&gt;180,AT19-180,AT19+180)</f>
        <v>67.5912540957175</v>
      </c>
      <c r="L19" s="10" t="n">
        <f aca="false">L18+1</f>
        <v>2459870.5</v>
      </c>
      <c r="M19" s="49" t="n">
        <f aca="false">(L19-2451545)/36525</f>
        <v>0.227939767282683</v>
      </c>
      <c r="N19" s="10" t="n">
        <f aca="false">MOD(280.46061837+360.98564736629*(L19-2451545)+0.000387933*M19^2-M19^3/38710000+$G$4,360)</f>
        <v>26.4677865728736</v>
      </c>
      <c r="O19" s="24" t="n">
        <f aca="false">0.60643382+1336.85522467*M19 - 0.00000313*M19^2 - INT(0.60643382+1336.85522467*M19 - 0.00000313*M19^2)</f>
        <v>0.328902459294852</v>
      </c>
      <c r="P19" s="10" t="n">
        <f aca="false">22640*SIN(Q19)-4586*SIN(Q19-2*S19)+2370*SIN(2*S19)+769*SIN(2*Q19)-668*SIN(R19)-412*SIN(2*T19)-212*SIN(2*Q19-2*S19)-206*SIN(Q19+R19-2*S19)+192*SIN(Q19+2*S19)-165*SIN(R19-2*S19)-125*SIN(S19)-110*SIN(Q19+R19)+148*SIN(Q19-R19)-55*SIN(2*T19-2*S19)</f>
        <v>-2778.87702197357</v>
      </c>
      <c r="Q19" s="18" t="n">
        <f aca="false">2*PI()*(0.374897+1325.55241*M19 - INT(0.374897+1325.55241*M19))</f>
        <v>3.27357005869989</v>
      </c>
      <c r="R19" s="26" t="n">
        <f aca="false">2*PI()*(0.993133+99.997361*M19 - INT(0.993133+99.997361*M19))</f>
        <v>4.94177673619803</v>
      </c>
      <c r="S19" s="26" t="n">
        <f aca="false">2*PI()*(0.827361+1236.853086*M19 - INT(0.827361+1236.853086*M19))</f>
        <v>4.74610194967232</v>
      </c>
      <c r="T19" s="26" t="n">
        <f aca="false">2*PI()*(0.259086+1342.227825*M19 - INT(0.259086+1342.227825*M19))</f>
        <v>1.29549272448839</v>
      </c>
      <c r="U19" s="26" t="n">
        <f aca="false">T19+(P19+412*SIN(2*T19)+541*SIN(R19))/206264.8062</f>
        <v>1.28051127594026</v>
      </c>
      <c r="V19" s="26" t="n">
        <f aca="false">T19-2*S19</f>
        <v>-8.19671117485626</v>
      </c>
      <c r="W19" s="25" t="n">
        <f aca="false">-526*SIN(V19)+44*SIN(Q19+V19)-31*SIN(-Q19+V19)-23*SIN(R19+V19)+11*SIN(-R19+V19)-25*SIN(-2*Q19+T19)+21*SIN(-Q19+T19)</f>
        <v>461.571228718984</v>
      </c>
      <c r="X19" s="26" t="n">
        <f aca="false">2*PI()*(O19+P19/1296000-INT(O19+P19/1296000))</f>
        <v>2.05308272375291</v>
      </c>
      <c r="Y19" s="26" t="n">
        <f aca="false">(18520*SIN(U19)+W19)/206264.8062</f>
        <v>0.0882687543033123</v>
      </c>
      <c r="Z19" s="26" t="n">
        <f aca="false">Y19*180/PI()</f>
        <v>5.05742708445702</v>
      </c>
      <c r="AA19" s="26" t="n">
        <f aca="false">COS(Y19)*COS(X19)</f>
        <v>-0.462000319383654</v>
      </c>
      <c r="AB19" s="26" t="n">
        <f aca="false">COS(Y19)*SIN(X19)</f>
        <v>0.882487703063266</v>
      </c>
      <c r="AC19" s="26" t="n">
        <f aca="false">SIN(Y19)</f>
        <v>0.0881541764837135</v>
      </c>
      <c r="AD19" s="26" t="n">
        <f aca="false">COS($G$6*(23.4393-46.815*M19/3600))*AB19-SIN($G$6*(23.4393-46.815*M19/3600))*AC19</f>
        <v>0.774623196720825</v>
      </c>
      <c r="AE19" s="26" t="n">
        <f aca="false">SIN($G$6*(23.4393-46.815*M19/3600))*AB19+COS($G$6*(23.4393-46.815*M19/3600))*AC19</f>
        <v>0.431873370319833</v>
      </c>
      <c r="AF19" s="26" t="n">
        <f aca="false">SQRT(1-AE19*AE19)</f>
        <v>0.901934250380031</v>
      </c>
      <c r="AG19" s="10" t="n">
        <f aca="false">ATAN(AE19/AF19)/$G$6</f>
        <v>25.5865078004685</v>
      </c>
      <c r="AH19" s="26" t="n">
        <f aca="false">IF(24*ATAN(AD19/(AA19+AF19))/PI()&gt;0,24*ATAN(AD19/(AA19+AF19))/PI(),24*ATAN(AD19/(AA19+AF19))/PI()+24)</f>
        <v>8.05417807731301</v>
      </c>
      <c r="AI19" s="10" t="n">
        <f aca="false">IF(N19-15*AH19&gt;0,N19-15*AH19,360+N19-15*AH19)</f>
        <v>265.655115413178</v>
      </c>
      <c r="AJ19" s="18" t="n">
        <f aca="false">0.950724+0.051818*COS(Q19)+0.009531*COS(2*S19-Q19)+0.007843*COS(2*S19)+0.002824*COS(2*Q19)+0.000857*COS(2*S19+Q19)+0.000533*COS(2*S19-R19)+0.000401*COS(2*S19-R19-Q19)+0.00032*COS(Q19-R19)-0.000271*COS(S19)</f>
        <v>0.904598785831456</v>
      </c>
      <c r="AK19" s="50" t="n">
        <f aca="false">ASIN(COS($G$6*$G$2)*COS($G$6*AG19)*COS($G$6*AI19)+SIN($G$6*$G$2)*SIN($G$6*AG19))/$G$6</f>
        <v>-13.3939311478752</v>
      </c>
      <c r="AL19" s="18" t="n">
        <f aca="false">ASIN((0.9983271+0.0016764*COS($G$6*2*$G$2))*COS($G$6*AK19)*SIN($G$6*AJ19))/$G$6</f>
        <v>0.879544715823374</v>
      </c>
      <c r="AM19" s="18" t="n">
        <f aca="false">AK19-AL19</f>
        <v>-14.2734758636986</v>
      </c>
      <c r="AN19" s="10" t="n">
        <f aca="false"> IF(280.4664567 + 360007.6982779*M19/10 + 0.03032028*M19^2/100 + M19^3/49931000&lt;0,MOD(280.4664567 + 360007.6982779*M19/10 + 0.03032028*M19^2/100 + M19^3/49931000+360,360),MOD(280.4664567 + 360007.6982779*M19/10 + 0.03032028*M19^2/100 + M19^3/49931000,360))</f>
        <v>206.473568997493</v>
      </c>
      <c r="AO19" s="27" t="n">
        <f aca="false"> AN19 + (1.9146 - 0.004817*M19 - 0.000014*M19^2)*SIN(R19)+ (0.019993 - 0.000101*M19)*SIN(2*R19)+ 0.00029*SIN(3*R19)</f>
        <v>204.601570648344</v>
      </c>
      <c r="AP19" s="18" t="n">
        <f aca="false">ACOS(COS(X19-$G$6*AO19)*COS(Y19))/$G$6</f>
        <v>86.9804082816439</v>
      </c>
      <c r="AQ19" s="25" t="n">
        <f aca="false">180 - AP19 -0.1468*(1-0.0549*SIN(R19))*SIN($G$6*AP19)/(1-0.0167*SIN($G$6*AO19))</f>
        <v>92.8662244783511</v>
      </c>
      <c r="AR19" s="25" t="n">
        <f aca="false">SIN($G$6*AI19)</f>
        <v>-0.997126090428062</v>
      </c>
      <c r="AS19" s="25" t="n">
        <f aca="false">COS($G$6*AI19)*SIN($G$6*$G$2) - TAN($G$6*AG19)*COS($G$6*$G$2)</f>
        <v>-0.411163791806315</v>
      </c>
      <c r="AT19" s="25" t="n">
        <f aca="false">IF(OR(AND(AR19*AS19&gt;0), AND(AR19&lt;0,AS19&gt;0)), MOD(ATAN2(AS19,AR19)/$G$6+360,360),  ATAN2(AS19,AR19)/$G$6)</f>
        <v>247.591254095718</v>
      </c>
      <c r="AU19" s="18" t="n">
        <f aca="false">IF((X19-X18)/$G$6&lt;0,(X19-X18)/$G$6+360,(X19-X18)/$G$6)</f>
        <v>11.8844949246276</v>
      </c>
      <c r="AV19" s="29" t="n">
        <f aca="false">(1+SIN($G$6*H19)*SIN($G$6*AJ19))*120*ASIN(0.272481*SIN($G$6*AJ19))/$G$6</f>
        <v>29.4620530674234</v>
      </c>
      <c r="AW19" s="10" t="n">
        <f aca="false">COS(X19)</f>
        <v>-0.463805989267313</v>
      </c>
      <c r="AX19" s="10" t="n">
        <f aca="false">SIN(X19)</f>
        <v>0.885936794765727</v>
      </c>
      <c r="AY19" s="30" t="n">
        <f aca="false"> 385000.56 + (-20905355*COS(Q19) - 3699111*COS(2*S19-Q19) - 2955968*COS(2*S19) - 569925*COS(2*Q19) + (1-0.002516*M19)*48888*COS(R19) - 3149*COS(2*T19)  +246158*COS(2*S19-2*Q19) -(1-0.002516*M19)*152138*COS(2*S19-R19-Q19) -170733*COS(2*S19+Q19) -(1-0.002516*M19)*204586*COS(2*S19-R19) -(1-0.002516*M19)*129620*COS(R19-Q19)  + 108743*COS(S19) +(1-0.002516*M19)*104755*COS(R19+Q19) +10321*COS(2*S19-2*T19) +79661*COS(Q19-2*T19) -34782*COS(4*S19-Q19) -23210*COS(3*Q19)  -21636*COS(4*S19-2*Q19) +(1-0.002516*M19)*24208*COS(2*S19+R19-Q19) +(1-0.002516*M19)*30824*COS(2*S19+R19) -8379*COS(S19-Q19) -(1-0.002516*M19)*16675*COS(S19+R19)  -(1-0.002516*M19)*12831*COS(2*S19-R19+Q19) -10445*COS(2*S19+2*Q19) -11650*COS(4*S19) +14403*COS(2*S19-3*Q19) -(1-0.002516*M19)*7003*COS(R19-2*Q19)  + (1-0.002516*M19)*10056*COS(2*S19-R19-2*Q19) +6322*COS(S19+Q19) -(1-0.002516*M19)*(1-0.002516*M19)*9884*COS(2*S19-2*R19) +(1-0.002516*M19)*5751*COS(R19+2*Q19) -(1-0.002516*M19)*(1-0.002516*M19)*4950*COS(2*S19-2*R19-Q19)  +4130*COS(2*S19+Q19-2*T19) -(1-0.002516*M19)*3958*COS(4*S19-R19-Q19) +3258*COS(3*S19-Q19) +(1-0.002516*M19)*2616*COS(2*S19+R19+Q19) -(1-0.002516*M19)*1897*COS(4*S19-R19-2*Q19)  -(1-0.002516*M19)*(1-0.002516*M19)*2117*COS(2*R19-Q19) +(1-0.002516*M19)*(1-0.002516*M19)*2354*COS(2*S19+2*R19-Q19) -1423*COS(4*S19+Q19) -1117*COS(4*Q19) -(1-0.002516*M19)*1571*COS(4*S19-R19)  -1739*COS(S19-2*Q19) -4421*COS(2*Q19-2*T19) +(1-0.002516*M19)*(1-0.002516*M19)*1165*COS(2*R19+Q19) +8752*COS(2*S19-Q19-2*T19))/1000</f>
        <v>404115.59750547</v>
      </c>
      <c r="AZ19" s="17" t="n">
        <f aca="false">AZ18+1</f>
        <v>291</v>
      </c>
      <c r="BA19" s="17" t="n">
        <v>18</v>
      </c>
      <c r="BB19" s="32" t="n">
        <f aca="false">ATAN(0.99664719*TAN($G$6*input!$E$2))</f>
        <v>-0.400219206115995</v>
      </c>
      <c r="BC19" s="32" t="n">
        <f aca="false">COS(BB19)</f>
        <v>0.920975608992155</v>
      </c>
      <c r="BD19" s="32" t="n">
        <f aca="false">0.99664719*SIN(BB19)</f>
        <v>-0.388313912533463</v>
      </c>
      <c r="BE19" s="32" t="n">
        <f aca="false">6378.14/AY19</f>
        <v>0.0157829592309009</v>
      </c>
      <c r="BF19" s="33" t="n">
        <f aca="false">N19-15*AH19</f>
        <v>-94.3448845868216</v>
      </c>
      <c r="BG19" s="27" t="n">
        <f aca="false">COS($G$6*AG19)*SIN($G$6*BF19)</f>
        <v>-0.899342172904605</v>
      </c>
      <c r="BH19" s="27" t="n">
        <f aca="false">COS($G$6*AG19)*COS($G$6*BF19)-BC19*BE19</f>
        <v>-0.0828661532687136</v>
      </c>
      <c r="BI19" s="27" t="n">
        <f aca="false">SIN($G$6*AG19)-BD19*BE19</f>
        <v>0.438002112970141</v>
      </c>
      <c r="BJ19" s="46" t="n">
        <f aca="false">SQRT(BG19^2+BH19^2+BI19^2)</f>
        <v>1.00375743797425</v>
      </c>
      <c r="BK19" s="35" t="n">
        <f aca="false">AY19*BJ19</f>
        <v>405634.036797525</v>
      </c>
      <c r="BL19" s="51" t="n">
        <f aca="false">IF(OR(AND(BK19&gt;BK18,BK19&gt;BK20),AND(BK19&lt;BK18,BK19&lt;BK20)),BK19,"")</f>
        <v>405634.036797525</v>
      </c>
    </row>
    <row r="20" customFormat="false" ht="15" hidden="false" customHeight="false" outlineLevel="0" collapsed="false">
      <c r="A20" s="20"/>
      <c r="B20" s="20"/>
      <c r="C20" s="20"/>
      <c r="D20" s="17" t="n">
        <v>19</v>
      </c>
      <c r="E20" s="17" t="n">
        <f aca="false">$E$2</f>
        <v>10</v>
      </c>
      <c r="F20" s="17" t="n">
        <f aca="false">$F$2</f>
        <v>2022</v>
      </c>
      <c r="H20" s="39" t="n">
        <f aca="false">AM20</f>
        <v>-23.5953209575129</v>
      </c>
      <c r="I20" s="48" t="n">
        <f aca="false">H20+1.02/(TAN($G$6*(H20+10.3/(H20+5.11)))*60)</f>
        <v>-23.6332316645455</v>
      </c>
      <c r="J20" s="39" t="n">
        <f aca="false">100*(1+COS($G$6*AQ20))/2</f>
        <v>38.0964804806823</v>
      </c>
      <c r="K20" s="48" t="n">
        <f aca="false">IF(AI20&gt;180,AT20-180,AT20+180)</f>
        <v>73.716977263822</v>
      </c>
      <c r="L20" s="10" t="n">
        <f aca="false">L19+1</f>
        <v>2459871.5</v>
      </c>
      <c r="M20" s="49" t="n">
        <f aca="false">(L20-2451545)/36525</f>
        <v>0.227967145790554</v>
      </c>
      <c r="N20" s="10" t="n">
        <f aca="false">MOD(280.46061837+360.98564736629*(L20-2451545)+0.000387933*M20^2-M20^3/38710000+$G$4,360)</f>
        <v>27.4534339434467</v>
      </c>
      <c r="O20" s="24" t="n">
        <f aca="false">0.60643382+1336.85522467*M20 - 0.00000313*M20^2 - INT(0.60643382+1336.85522467*M20 - 0.00000313*M20^2)</f>
        <v>0.365503560547268</v>
      </c>
      <c r="P20" s="10" t="n">
        <f aca="false">22640*SIN(Q20)-4586*SIN(Q20-2*S20)+2370*SIN(2*S20)+769*SIN(2*Q20)-668*SIN(R20)-412*SIN(2*T20)-212*SIN(2*Q20-2*S20)-206*SIN(Q20+R20-2*S20)+192*SIN(Q20+2*S20)-165*SIN(R20-2*S20)-125*SIN(S20)-110*SIN(Q20+R20)+148*SIN(Q20-R20)-55*SIN(2*T20-2*S20)</f>
        <v>-7219.86752337173</v>
      </c>
      <c r="Q20" s="18" t="n">
        <f aca="false">2*PI()*(0.374897+1325.55241*M20 - INT(0.374897+1325.55241*M20))</f>
        <v>3.50159720247535</v>
      </c>
      <c r="R20" s="26" t="n">
        <f aca="false">2*PI()*(0.993133+99.997361*M20 - INT(0.993133+99.997361*M20))</f>
        <v>4.95897870606501</v>
      </c>
      <c r="S20" s="26" t="n">
        <f aca="false">2*PI()*(0.827361+1236.853086*M20 - INT(0.827361+1236.853086*M20))</f>
        <v>4.95887065979135</v>
      </c>
      <c r="T20" s="26" t="n">
        <f aca="false">2*PI()*(0.259086+1342.227825*M20 - INT(0.259086+1342.227825*M20))</f>
        <v>1.52638844382904</v>
      </c>
      <c r="U20" s="26" t="n">
        <f aca="false">T20+(P20+412*SIN(2*T20)+541*SIN(R20))/206264.8062</f>
        <v>1.48901920629461</v>
      </c>
      <c r="V20" s="26" t="n">
        <f aca="false">T20-2*S20</f>
        <v>-8.39135287575366</v>
      </c>
      <c r="W20" s="25" t="n">
        <f aca="false">-526*SIN(V20)+44*SIN(Q20+V20)-31*SIN(-Q20+V20)-23*SIN(R20+V20)+11*SIN(-R20+V20)-25*SIN(-2*Q20+T20)+21*SIN(-Q20+T20)</f>
        <v>424.128495496677</v>
      </c>
      <c r="X20" s="26" t="n">
        <f aca="false">2*PI()*(O20+P20/1296000-INT(O20+P20/1296000))</f>
        <v>2.26152369584113</v>
      </c>
      <c r="Y20" s="26" t="n">
        <f aca="false">(18520*SIN(U20)+W20)/206264.8062</f>
        <v>0.091543667193437</v>
      </c>
      <c r="Z20" s="26" t="n">
        <f aca="false">Y20*180/PI()</f>
        <v>5.24506577133416</v>
      </c>
      <c r="AA20" s="26" t="n">
        <f aca="false">COS(Y20)*COS(X20)</f>
        <v>-0.634430340008211</v>
      </c>
      <c r="AB20" s="26" t="n">
        <f aca="false">COS(Y20)*SIN(X20)</f>
        <v>0.767555394758882</v>
      </c>
      <c r="AC20" s="26" t="n">
        <f aca="false">SIN(Y20)</f>
        <v>0.0914158610614335</v>
      </c>
      <c r="AD20" s="26" t="n">
        <f aca="false">COS($G$6*(23.4393-46.815*M20/3600))*AB20-SIN($G$6*(23.4393-46.815*M20/3600))*AC20</f>
        <v>0.667875240722514</v>
      </c>
      <c r="AE20" s="26" t="n">
        <f aca="false">SIN($G$6*(23.4393-46.815*M20/3600))*AB20+COS($G$6*(23.4393-46.815*M20/3600))*AC20</f>
        <v>0.389153962471038</v>
      </c>
      <c r="AF20" s="26" t="n">
        <f aca="false">SQRT(1-AE20*AE20)</f>
        <v>0.921172727284677</v>
      </c>
      <c r="AG20" s="10" t="n">
        <f aca="false">ATAN(AE20/AF20)/$G$6</f>
        <v>22.9018667162038</v>
      </c>
      <c r="AH20" s="26" t="n">
        <f aca="false">IF(24*ATAN(AD20/(AA20+AF20))/PI()&gt;0,24*ATAN(AD20/(AA20+AF20))/PI(),24*ATAN(AD20/(AA20+AF20))/PI()+24)</f>
        <v>8.90192621570511</v>
      </c>
      <c r="AI20" s="10" t="n">
        <f aca="false">IF(N20-15*AH20&gt;0,N20-15*AH20,360+N20-15*AH20)</f>
        <v>253.92454070787</v>
      </c>
      <c r="AJ20" s="18" t="n">
        <f aca="false">0.950724+0.051818*COS(Q20)+0.009531*COS(2*S20-Q20)+0.007843*COS(2*S20)+0.002824*COS(2*Q20)+0.000857*COS(2*S20+Q20)+0.000533*COS(2*S20-R20)+0.000401*COS(2*S20-R20-Q20)+0.00032*COS(Q20-R20)-0.000271*COS(S20)</f>
        <v>0.907597820667752</v>
      </c>
      <c r="AK20" s="50" t="n">
        <f aca="false">ASIN(COS($G$6*$G$2)*COS($G$6*AG20)*COS($G$6*AI20)+SIN($G$6*$G$2)*SIN($G$6*AG20))/$G$6</f>
        <v>-22.758818134725</v>
      </c>
      <c r="AL20" s="18" t="n">
        <f aca="false">ASIN((0.9983271+0.0016764*COS($G$6*2*$G$2))*COS($G$6*AK20)*SIN($G$6*AJ20))/$G$6</f>
        <v>0.836502822787859</v>
      </c>
      <c r="AM20" s="18" t="n">
        <f aca="false">AK20-AL20</f>
        <v>-23.5953209575129</v>
      </c>
      <c r="AN20" s="10" t="n">
        <f aca="false"> IF(280.4664567 + 360007.6982779*M20/10 + 0.03032028*M20^2/100 + M20^3/49931000&lt;0,MOD(280.4664567 + 360007.6982779*M20/10 + 0.03032028*M20^2/100 + M20^3/49931000+360,360),MOD(280.4664567 + 360007.6982779*M20/10 + 0.03032028*M20^2/100 + M20^3/49931000,360))</f>
        <v>207.459216361383</v>
      </c>
      <c r="AO20" s="27" t="n">
        <f aca="false"> AN20 + (1.9146 - 0.004817*M20 - 0.000014*M20^2)*SIN(R20)+ (0.019993 - 0.000101*M20)*SIN(2*R20)+ 0.00029*SIN(3*R20)</f>
        <v>205.594357496282</v>
      </c>
      <c r="AP20" s="18" t="n">
        <f aca="false">ACOS(COS(X20-$G$6*AO20)*COS(Y20))/$G$6</f>
        <v>76.0783199726071</v>
      </c>
      <c r="AQ20" s="25" t="n">
        <f aca="false">180 - AP20 -0.1468*(1-0.0549*SIN(R20))*SIN($G$6*AP20)/(1-0.0167*SIN($G$6*AO20))</f>
        <v>103.772681179352</v>
      </c>
      <c r="AR20" s="25" t="n">
        <f aca="false">SIN($G$6*AI20)</f>
        <v>-0.960897844369727</v>
      </c>
      <c r="AS20" s="25" t="n">
        <f aca="false">COS($G$6*AI20)*SIN($G$6*$G$2) - TAN($G$6*AG20)*COS($G$6*$G$2)</f>
        <v>-0.280677150971187</v>
      </c>
      <c r="AT20" s="25" t="n">
        <f aca="false">IF(OR(AND(AR20*AS20&gt;0), AND(AR20&lt;0,AS20&gt;0)), MOD(ATAN2(AS20,AR20)/$G$6+360,360),  ATAN2(AS20,AR20)/$G$6)</f>
        <v>253.716977263822</v>
      </c>
      <c r="AU20" s="18" t="n">
        <f aca="false">IF((X20-X19)/$G$6&lt;0,(X20-X19)/$G$6+360,(X20-X19)/$G$6)</f>
        <v>11.942787978259</v>
      </c>
      <c r="AV20" s="29" t="n">
        <f aca="false">(1+SIN($G$6*H20)*SIN($G$6*AJ20))*120*ASIN(0.272481*SIN($G$6*AJ20))/$G$6</f>
        <v>29.487080425812</v>
      </c>
      <c r="AW20" s="10" t="n">
        <f aca="false">COS(X20)</f>
        <v>-0.637097994265842</v>
      </c>
      <c r="AX20" s="10" t="n">
        <f aca="false">SIN(X20)</f>
        <v>0.770782813574902</v>
      </c>
      <c r="AY20" s="30" t="n">
        <f aca="false"> 385000.56 + (-20905355*COS(Q20) - 3699111*COS(2*S20-Q20) - 2955968*COS(2*S20) - 569925*COS(2*Q20) + (1-0.002516*M20)*48888*COS(R20) - 3149*COS(2*T20)  +246158*COS(2*S20-2*Q20) -(1-0.002516*M20)*152138*COS(2*S20-R20-Q20) -170733*COS(2*S20+Q20) -(1-0.002516*M20)*204586*COS(2*S20-R20) -(1-0.002516*M20)*129620*COS(R20-Q20)  + 108743*COS(S20) +(1-0.002516*M20)*104755*COS(R20+Q20) +10321*COS(2*S20-2*T20) +79661*COS(Q20-2*T20) -34782*COS(4*S20-Q20) -23210*COS(3*Q20)  -21636*COS(4*S20-2*Q20) +(1-0.002516*M20)*24208*COS(2*S20+R20-Q20) +(1-0.002516*M20)*30824*COS(2*S20+R20) -8379*COS(S20-Q20) -(1-0.002516*M20)*16675*COS(S20+R20)  -(1-0.002516*M20)*12831*COS(2*S20-R20+Q20) -10445*COS(2*S20+2*Q20) -11650*COS(4*S20) +14403*COS(2*S20-3*Q20) -(1-0.002516*M20)*7003*COS(R20-2*Q20)  + (1-0.002516*M20)*10056*COS(2*S20-R20-2*Q20) +6322*COS(S20+Q20) -(1-0.002516*M20)*(1-0.002516*M20)*9884*COS(2*S20-2*R20) +(1-0.002516*M20)*5751*COS(R20+2*Q20) -(1-0.002516*M20)*(1-0.002516*M20)*4950*COS(2*S20-2*R20-Q20)  +4130*COS(2*S20+Q20-2*T20) -(1-0.002516*M20)*3958*COS(4*S20-R20-Q20) +3258*COS(3*S20-Q20) +(1-0.002516*M20)*2616*COS(2*S20+R20+Q20) -(1-0.002516*M20)*1897*COS(4*S20-R20-2*Q20)  -(1-0.002516*M20)*(1-0.002516*M20)*2117*COS(2*R20-Q20) +(1-0.002516*M20)*(1-0.002516*M20)*2354*COS(2*S20+2*R20-Q20) -1423*COS(4*S20+Q20) -1117*COS(4*Q20) -(1-0.002516*M20)*1571*COS(4*S20-R20)  -1739*COS(S20-2*Q20) -4421*COS(2*Q20-2*T20) +(1-0.002516*M20)*(1-0.002516*M20)*1165*COS(2*R20+Q20) +8752*COS(2*S20-Q20-2*T20))/1000</f>
        <v>402727.438927862</v>
      </c>
      <c r="AZ20" s="17" t="n">
        <f aca="false">AZ19+1</f>
        <v>292</v>
      </c>
      <c r="BA20" s="17" t="n">
        <v>19</v>
      </c>
      <c r="BB20" s="32" t="n">
        <f aca="false">ATAN(0.99664719*TAN($G$6*input!$E$2))</f>
        <v>-0.400219206115995</v>
      </c>
      <c r="BC20" s="32" t="n">
        <f aca="false">COS(BB20)</f>
        <v>0.920975608992155</v>
      </c>
      <c r="BD20" s="32" t="n">
        <f aca="false">0.99664719*SIN(BB20)</f>
        <v>-0.388313912533463</v>
      </c>
      <c r="BE20" s="32" t="n">
        <f aca="false">6378.14/AY20</f>
        <v>0.0158373614099398</v>
      </c>
      <c r="BF20" s="33" t="n">
        <f aca="false">N20-15*AH20</f>
        <v>-106.07545929213</v>
      </c>
      <c r="BG20" s="27" t="n">
        <f aca="false">COS($G$6*AG20)*SIN($G$6*BF20)</f>
        <v>-0.885152887940028</v>
      </c>
      <c r="BH20" s="27" t="n">
        <f aca="false">COS($G$6*AG20)*COS($G$6*BF20)-BC20*BE20</f>
        <v>-0.269661417197037</v>
      </c>
      <c r="BI20" s="27" t="n">
        <f aca="false">SIN($G$6*AG20)-BD20*BE20</f>
        <v>0.395303830244338</v>
      </c>
      <c r="BJ20" s="46" t="n">
        <f aca="false">SQRT(BG20^2+BH20^2+BI20^2)</f>
        <v>1.00621967440472</v>
      </c>
      <c r="BK20" s="35" t="n">
        <f aca="false">AY20*BJ20</f>
        <v>405232.272471838</v>
      </c>
      <c r="BL20" s="51" t="str">
        <f aca="false">IF(OR(AND(BK20&gt;BK19,BK20&gt;BK21),AND(BK20&lt;BK19,BK20&lt;BK21)),BK20,"")</f>
        <v/>
      </c>
    </row>
    <row r="21" customFormat="false" ht="15" hidden="false" customHeight="false" outlineLevel="0" collapsed="false">
      <c r="A21" s="20"/>
      <c r="B21" s="20"/>
      <c r="C21" s="20"/>
      <c r="D21" s="17" t="n">
        <v>20</v>
      </c>
      <c r="E21" s="17" t="n">
        <f aca="false">$E$2</f>
        <v>10</v>
      </c>
      <c r="F21" s="17" t="n">
        <f aca="false">$F$2</f>
        <v>2022</v>
      </c>
      <c r="H21" s="39" t="n">
        <f aca="false">AM21</f>
        <v>-32.6431372843876</v>
      </c>
      <c r="I21" s="48" t="n">
        <f aca="false">H21+1.02/(TAN($G$6*(H21+10.3/(H21+5.11)))*60)</f>
        <v>-32.669297760477</v>
      </c>
      <c r="J21" s="39" t="n">
        <f aca="false">100*(1+COS($G$6*AQ21))/2</f>
        <v>29.0203117930434</v>
      </c>
      <c r="K21" s="48" t="n">
        <f aca="false">IF(AI21&gt;180,AT21-180,AT21+180)</f>
        <v>80.9671893258475</v>
      </c>
      <c r="L21" s="10" t="n">
        <f aca="false">L20+1</f>
        <v>2459872.5</v>
      </c>
      <c r="M21" s="49" t="n">
        <f aca="false">(L21-2451545)/36525</f>
        <v>0.227994524298426</v>
      </c>
      <c r="N21" s="10" t="n">
        <f aca="false">MOD(280.46061837+360.98564736629*(L21-2451545)+0.000387933*M21^2-M21^3/38710000+$G$4,360)</f>
        <v>28.4390813149512</v>
      </c>
      <c r="O21" s="24" t="n">
        <f aca="false">0.60643382+1336.85522467*M21 - 0.00000313*M21^2 - INT(0.60643382+1336.85522467*M21 - 0.00000313*M21^2)</f>
        <v>0.402104661799626</v>
      </c>
      <c r="P21" s="10" t="n">
        <f aca="false">22640*SIN(Q21)-4586*SIN(Q21-2*S21)+2370*SIN(2*S21)+769*SIN(2*Q21)-668*SIN(R21)-412*SIN(2*T21)-212*SIN(2*Q21-2*S21)-206*SIN(Q21+R21-2*S21)+192*SIN(Q21+2*S21)-165*SIN(R21-2*S21)-125*SIN(S21)-110*SIN(Q21+R21)+148*SIN(Q21-R21)-55*SIN(2*T21-2*S21)</f>
        <v>-11201.2856250873</v>
      </c>
      <c r="Q21" s="18" t="n">
        <f aca="false">2*PI()*(0.374897+1325.55241*M21 - INT(0.374897+1325.55241*M21))</f>
        <v>3.72962434625117</v>
      </c>
      <c r="R21" s="26" t="n">
        <f aca="false">2*PI()*(0.993133+99.997361*M21 - INT(0.993133+99.997361*M21))</f>
        <v>4.97618067593202</v>
      </c>
      <c r="S21" s="26" t="n">
        <f aca="false">2*PI()*(0.827361+1236.853086*M21 - INT(0.827361+1236.853086*M21))</f>
        <v>5.17163936991037</v>
      </c>
      <c r="T21" s="26" t="n">
        <f aca="false">2*PI()*(0.259086+1342.227825*M21 - INT(0.259086+1342.227825*M21))</f>
        <v>1.75728416317004</v>
      </c>
      <c r="U21" s="26" t="n">
        <f aca="false">T21+(P21+412*SIN(2*T21)+541*SIN(R21))/206264.8062</f>
        <v>1.69971884399356</v>
      </c>
      <c r="V21" s="26" t="n">
        <f aca="false">T21-2*S21</f>
        <v>-8.58599457665071</v>
      </c>
      <c r="W21" s="25" t="n">
        <f aca="false">-526*SIN(V21)+44*SIN(Q21+V21)-31*SIN(-Q21+V21)-23*SIN(R21+V21)+11*SIN(-R21+V21)-25*SIN(-2*Q21+T21)+21*SIN(-Q21+T21)</f>
        <v>374.44066375211</v>
      </c>
      <c r="X21" s="26" t="n">
        <f aca="false">2*PI()*(O21+P21/1296000-INT(O21+P21/1296000))</f>
        <v>2.47219273779725</v>
      </c>
      <c r="Y21" s="26" t="n">
        <f aca="false">(18520*SIN(U21)+W21)/206264.8062</f>
        <v>0.090857686617338</v>
      </c>
      <c r="Z21" s="26" t="n">
        <f aca="false">Y21*180/PI()</f>
        <v>5.20576197949573</v>
      </c>
      <c r="AA21" s="26" t="n">
        <f aca="false">COS(Y21)*COS(X21)</f>
        <v>-0.780959586512901</v>
      </c>
      <c r="AB21" s="26" t="n">
        <f aca="false">COS(Y21)*SIN(X21)</f>
        <v>0.617956062914328</v>
      </c>
      <c r="AC21" s="26" t="n">
        <f aca="false">SIN(Y21)</f>
        <v>0.0907327313653743</v>
      </c>
      <c r="AD21" s="26" t="n">
        <f aca="false">COS($G$6*(23.4393-46.815*M21/3600))*AB21-SIN($G$6*(23.4393-46.815*M21/3600))*AC21</f>
        <v>0.530889170829318</v>
      </c>
      <c r="AE21" s="26" t="n">
        <f aca="false">SIN($G$6*(23.4393-46.815*M21/3600))*AB21+COS($G$6*(23.4393-46.815*M21/3600))*AC21</f>
        <v>0.329027069600295</v>
      </c>
      <c r="AF21" s="26" t="n">
        <f aca="false">SQRT(1-AE21*AE21)</f>
        <v>0.944320489807482</v>
      </c>
      <c r="AG21" s="10" t="n">
        <f aca="false">ATAN(AE21/AF21)/$G$6</f>
        <v>19.2097332219753</v>
      </c>
      <c r="AH21" s="26" t="n">
        <f aca="false">IF(24*ATAN(AD21/(AA21+AF21))/PI()&gt;0,24*ATAN(AD21/(AA21+AF21))/PI(),24*ATAN(AD21/(AA21+AF21))/PI()+24)</f>
        <v>9.71949956852727</v>
      </c>
      <c r="AI21" s="10" t="n">
        <f aca="false">IF(N21-15*AH21&gt;0,N21-15*AH21,360+N21-15*AH21)</f>
        <v>242.646587787042</v>
      </c>
      <c r="AJ21" s="18" t="n">
        <f aca="false">0.950724+0.051818*COS(Q21)+0.009531*COS(2*S21-Q21)+0.007843*COS(2*S21)+0.002824*COS(2*Q21)+0.000857*COS(2*S21+Q21)+0.000533*COS(2*S21-R21)+0.000401*COS(2*S21-R21-Q21)+0.00032*COS(Q21-R21)-0.000271*COS(S21)</f>
        <v>0.913284836597189</v>
      </c>
      <c r="AK21" s="50" t="n">
        <f aca="false">ASIN(COS($G$6*$G$2)*COS($G$6*AG21)*COS($G$6*AI21)+SIN($G$6*$G$2)*SIN($G$6*AG21))/$G$6</f>
        <v>-31.8679176831908</v>
      </c>
      <c r="AL21" s="18" t="n">
        <f aca="false">ASIN((0.9983271+0.0016764*COS($G$6*2*$G$2))*COS($G$6*AK21)*SIN($G$6*AJ21))/$G$6</f>
        <v>0.775219601196845</v>
      </c>
      <c r="AM21" s="18" t="n">
        <f aca="false">AK21-AL21</f>
        <v>-32.6431372843876</v>
      </c>
      <c r="AN21" s="10" t="n">
        <f aca="false"> IF(280.4664567 + 360007.6982779*M21/10 + 0.03032028*M21^2/100 + M21^3/49931000&lt;0,MOD(280.4664567 + 360007.6982779*M21/10 + 0.03032028*M21^2/100 + M21^3/49931000+360,360),MOD(280.4664567 + 360007.6982779*M21/10 + 0.03032028*M21^2/100 + M21^3/49931000,360))</f>
        <v>208.444863725274</v>
      </c>
      <c r="AO21" s="27" t="n">
        <f aca="false"> AN21 + (1.9146 - 0.004817*M21 - 0.000014*M21^2)*SIN(R21)+ (0.019993 - 0.000101*M21)*SIN(2*R21)+ 0.00029*SIN(3*R21)</f>
        <v>206.587704040771</v>
      </c>
      <c r="AP21" s="18" t="n">
        <f aca="false">ACOS(COS(X21-$G$6*AO21)*COS(Y21))/$G$6</f>
        <v>65.0519403232501</v>
      </c>
      <c r="AQ21" s="25" t="n">
        <f aca="false">180 - AP21 -0.1468*(1-0.0549*SIN(R21))*SIN($G$6*AP21)/(1-0.0167*SIN($G$6*AO21))</f>
        <v>114.808942781685</v>
      </c>
      <c r="AR21" s="25" t="n">
        <f aca="false">SIN($G$6*AI21)</f>
        <v>-0.888189284779969</v>
      </c>
      <c r="AS21" s="25" t="n">
        <f aca="false">COS($G$6*AI21)*SIN($G$6*$G$2) - TAN($G$6*AG21)*COS($G$6*$G$2)</f>
        <v>-0.141196794719618</v>
      </c>
      <c r="AT21" s="25" t="n">
        <f aca="false">IF(OR(AND(AR21*AS21&gt;0), AND(AR21&lt;0,AS21&gt;0)), MOD(ATAN2(AS21,AR21)/$G$6+360,360),  ATAN2(AS21,AR21)/$G$6)</f>
        <v>260.967189325847</v>
      </c>
      <c r="AU21" s="18" t="n">
        <f aca="false">IF((X21-X20)/$G$6&lt;0,(X21-X20)/$G$6+360,(X21-X20)/$G$6)</f>
        <v>12.0704469781503</v>
      </c>
      <c r="AV21" s="29" t="n">
        <f aca="false">(1+SIN($G$6*H21)*SIN($G$6*AJ21))*120*ASIN(0.272481*SIN($G$6*AJ21))/$G$6</f>
        <v>29.6044251787304</v>
      </c>
      <c r="AW21" s="10" t="n">
        <f aca="false">COS(X21)</f>
        <v>-0.784194168614856</v>
      </c>
      <c r="AX21" s="10" t="n">
        <f aca="false">SIN(X21)</f>
        <v>0.620515516252781</v>
      </c>
      <c r="AY21" s="30" t="n">
        <f aca="false"> 385000.56 + (-20905355*COS(Q21) - 3699111*COS(2*S21-Q21) - 2955968*COS(2*S21) - 569925*COS(2*Q21) + (1-0.002516*M21)*48888*COS(R21) - 3149*COS(2*T21)  +246158*COS(2*S21-2*Q21) -(1-0.002516*M21)*152138*COS(2*S21-R21-Q21) -170733*COS(2*S21+Q21) -(1-0.002516*M21)*204586*COS(2*S21-R21) -(1-0.002516*M21)*129620*COS(R21-Q21)  + 108743*COS(S21) +(1-0.002516*M21)*104755*COS(R21+Q21) +10321*COS(2*S21-2*T21) +79661*COS(Q21-2*T21) -34782*COS(4*S21-Q21) -23210*COS(3*Q21)  -21636*COS(4*S21-2*Q21) +(1-0.002516*M21)*24208*COS(2*S21+R21-Q21) +(1-0.002516*M21)*30824*COS(2*S21+R21) -8379*COS(S21-Q21) -(1-0.002516*M21)*16675*COS(S21+R21)  -(1-0.002516*M21)*12831*COS(2*S21-R21+Q21) -10445*COS(2*S21+2*Q21) -11650*COS(4*S21) +14403*COS(2*S21-3*Q21) -(1-0.002516*M21)*7003*COS(R21-2*Q21)  + (1-0.002516*M21)*10056*COS(2*S21-R21-2*Q21) +6322*COS(S21+Q21) -(1-0.002516*M21)*(1-0.002516*M21)*9884*COS(2*S21-2*R21) +(1-0.002516*M21)*5751*COS(R21+2*Q21) -(1-0.002516*M21)*(1-0.002516*M21)*4950*COS(2*S21-2*R21-Q21)  +4130*COS(2*S21+Q21-2*T21) -(1-0.002516*M21)*3958*COS(4*S21-R21-Q21) +3258*COS(3*S21-Q21) +(1-0.002516*M21)*2616*COS(2*S21+R21+Q21) -(1-0.002516*M21)*1897*COS(4*S21-R21-2*Q21)  -(1-0.002516*M21)*(1-0.002516*M21)*2117*COS(2*R21-Q21) +(1-0.002516*M21)*(1-0.002516*M21)*2354*COS(2*S21+2*R21-Q21) -1423*COS(4*S21+Q21) -1117*COS(4*Q21) -(1-0.002516*M21)*1571*COS(4*S21-R21)  -1739*COS(S21-2*Q21) -4421*COS(2*Q21-2*T21) +(1-0.002516*M21)*(1-0.002516*M21)*1165*COS(2*R21+Q21) +8752*COS(2*S21-Q21-2*T21))/1000</f>
        <v>400133.913154532</v>
      </c>
      <c r="AZ21" s="17" t="n">
        <f aca="false">AZ20+1</f>
        <v>293</v>
      </c>
      <c r="BA21" s="17" t="n">
        <v>20</v>
      </c>
      <c r="BB21" s="32" t="n">
        <f aca="false">ATAN(0.99664719*TAN($G$6*input!$E$2))</f>
        <v>-0.400219206115995</v>
      </c>
      <c r="BC21" s="32" t="n">
        <f aca="false">COS(BB21)</f>
        <v>0.920975608992155</v>
      </c>
      <c r="BD21" s="32" t="n">
        <f aca="false">0.99664719*SIN(BB21)</f>
        <v>-0.388313912533463</v>
      </c>
      <c r="BE21" s="32" t="n">
        <f aca="false">6378.14/AY21</f>
        <v>0.0159400135562535</v>
      </c>
      <c r="BF21" s="33" t="n">
        <f aca="false">N21-15*AH21</f>
        <v>-117.353412212958</v>
      </c>
      <c r="BG21" s="27" t="n">
        <f aca="false">COS($G$6*AG21)*SIN($G$6*BF21)</f>
        <v>-0.838735340445176</v>
      </c>
      <c r="BH21" s="27" t="n">
        <f aca="false">COS($G$6*AG21)*COS($G$6*BF21)-BC21*BE21</f>
        <v>-0.448574609054657</v>
      </c>
      <c r="BI21" s="27" t="n">
        <f aca="false">SIN($G$6*AG21)-BD21*BE21</f>
        <v>0.33521679863016</v>
      </c>
      <c r="BJ21" s="46" t="n">
        <f aca="false">SQRT(BG21^2+BH21^2+BI21^2)</f>
        <v>1.00849712606635</v>
      </c>
      <c r="BK21" s="35" t="n">
        <f aca="false">AY21*BJ21</f>
        <v>403533.901458026</v>
      </c>
      <c r="BL21" s="51" t="str">
        <f aca="false">IF(OR(AND(BK21&gt;BK20,BK21&gt;BK22),AND(BK21&lt;BK20,BK21&lt;BK22)),BK21,"")</f>
        <v/>
      </c>
    </row>
    <row r="22" customFormat="false" ht="15" hidden="false" customHeight="false" outlineLevel="0" collapsed="false">
      <c r="A22" s="20"/>
      <c r="B22" s="20"/>
      <c r="C22" s="20"/>
      <c r="D22" s="17" t="n">
        <v>21</v>
      </c>
      <c r="E22" s="17" t="n">
        <f aca="false">$E$2</f>
        <v>10</v>
      </c>
      <c r="F22" s="17" t="n">
        <f aca="false">$F$2</f>
        <v>2022</v>
      </c>
      <c r="H22" s="39" t="n">
        <f aca="false">AM22</f>
        <v>-41.238715981671</v>
      </c>
      <c r="I22" s="48" t="n">
        <f aca="false">H22+1.02/(TAN($G$6*(H22+10.3/(H22+5.11)))*60)</f>
        <v>-41.2579149052841</v>
      </c>
      <c r="J22" s="39" t="n">
        <f aca="false">100*(1+COS($G$6*AQ22))/2</f>
        <v>20.5769275893239</v>
      </c>
      <c r="K22" s="48" t="n">
        <f aca="false">IF(AI22&gt;180,AT22-180,AT22+180)</f>
        <v>90.0669059391422</v>
      </c>
      <c r="L22" s="10" t="n">
        <f aca="false">L21+1</f>
        <v>2459873.5</v>
      </c>
      <c r="M22" s="49" t="n">
        <f aca="false">(L22-2451545)/36525</f>
        <v>0.228021902806297</v>
      </c>
      <c r="N22" s="10" t="n">
        <f aca="false">MOD(280.46061837+360.98564736629*(L22-2451545)+0.000387933*M22^2-M22^3/38710000+$G$4,360)</f>
        <v>29.42472868599</v>
      </c>
      <c r="O22" s="24" t="n">
        <f aca="false">0.60643382+1336.85522467*M22 - 0.00000313*M22^2 - INT(0.60643382+1336.85522467*M22 - 0.00000313*M22^2)</f>
        <v>0.438705763051985</v>
      </c>
      <c r="P22" s="10" t="n">
        <f aca="false">22640*SIN(Q22)-4586*SIN(Q22-2*S22)+2370*SIN(2*S22)+769*SIN(2*Q22)-668*SIN(R22)-412*SIN(2*T22)-212*SIN(2*Q22-2*S22)-206*SIN(Q22+R22-2*S22)+192*SIN(Q22+2*S22)-165*SIN(R22-2*S22)-125*SIN(S22)-110*SIN(Q22+R22)+148*SIN(Q22-R22)-55*SIN(2*T22-2*S22)</f>
        <v>-14489.8806737226</v>
      </c>
      <c r="Q22" s="18" t="n">
        <f aca="false">2*PI()*(0.374897+1325.55241*M22 - INT(0.374897+1325.55241*M22))</f>
        <v>3.95765149002699</v>
      </c>
      <c r="R22" s="26" t="n">
        <f aca="false">2*PI()*(0.993133+99.997361*M22 - INT(0.993133+99.997361*M22))</f>
        <v>4.993382645799</v>
      </c>
      <c r="S22" s="26" t="n">
        <f aca="false">2*PI()*(0.827361+1236.853086*M22 - INT(0.827361+1236.853086*M22))</f>
        <v>5.38440808002904</v>
      </c>
      <c r="T22" s="26" t="n">
        <f aca="false">2*PI()*(0.259086+1342.227825*M22 - INT(0.259086+1342.227825*M22))</f>
        <v>1.98817988251104</v>
      </c>
      <c r="U22" s="26" t="n">
        <f aca="false">T22+(P22+412*SIN(2*T22)+541*SIN(R22))/206264.8062</f>
        <v>1.91393060613183</v>
      </c>
      <c r="V22" s="26" t="n">
        <f aca="false">T22-2*S22</f>
        <v>-8.78063627754704</v>
      </c>
      <c r="W22" s="25" t="n">
        <f aca="false">-526*SIN(V22)+44*SIN(Q22+V22)-31*SIN(-Q22+V22)-23*SIN(R22+V22)+11*SIN(-R22+V22)-25*SIN(-2*Q22+T22)+21*SIN(-Q22+T22)</f>
        <v>312.713814131325</v>
      </c>
      <c r="X22" s="26" t="n">
        <f aca="false">2*PI()*(O22+P22/1296000-INT(O22+P22/1296000))</f>
        <v>2.68622068070059</v>
      </c>
      <c r="Y22" s="26" t="n">
        <f aca="false">(18520*SIN(U22)+W22)/206264.8062</f>
        <v>0.0860693927488792</v>
      </c>
      <c r="Z22" s="26" t="n">
        <f aca="false">Y22*180/PI()</f>
        <v>4.93141294976467</v>
      </c>
      <c r="AA22" s="26" t="n">
        <f aca="false">COS(Y22)*COS(X22)</f>
        <v>-0.894773024669514</v>
      </c>
      <c r="AB22" s="26" t="n">
        <f aca="false">COS(Y22)*SIN(X22)</f>
        <v>0.438168424722738</v>
      </c>
      <c r="AC22" s="26" t="n">
        <f aca="false">SIN(Y22)</f>
        <v>0.0859631659477699</v>
      </c>
      <c r="AD22" s="26" t="n">
        <f aca="false">COS($G$6*(23.4393-46.815*M22/3600))*AB22-SIN($G$6*(23.4393-46.815*M22/3600))*AC22</f>
        <v>0.367830548392688</v>
      </c>
      <c r="AE22" s="26" t="n">
        <f aca="false">SIN($G$6*(23.4393-46.815*M22/3600))*AB22+COS($G$6*(23.4393-46.815*M22/3600))*AC22</f>
        <v>0.25314407358835</v>
      </c>
      <c r="AF22" s="26" t="n">
        <f aca="false">SQRT(1-AE22*AE22)</f>
        <v>0.967428590650026</v>
      </c>
      <c r="AG22" s="10" t="n">
        <f aca="false">ATAN(AE22/AF22)/$G$6</f>
        <v>14.6636405824598</v>
      </c>
      <c r="AH22" s="26" t="n">
        <f aca="false">IF(24*ATAN(AD22/(AA22+AF22))/PI()&gt;0,24*ATAN(AD22/(AA22+AF22))/PI(),24*ATAN(AD22/(AA22+AF22))/PI()+24)</f>
        <v>10.5102012779805</v>
      </c>
      <c r="AI22" s="10" t="n">
        <f aca="false">IF(N22-15*AH22&gt;0,N22-15*AH22,360+N22-15*AH22)</f>
        <v>231.771709516282</v>
      </c>
      <c r="AJ22" s="18" t="n">
        <f aca="false">0.950724+0.051818*COS(Q22)+0.009531*COS(2*S22-Q22)+0.007843*COS(2*S22)+0.002824*COS(2*Q22)+0.000857*COS(2*S22+Q22)+0.000533*COS(2*S22-R22)+0.000401*COS(2*S22-R22-Q22)+0.00032*COS(Q22-R22)-0.000271*COS(S22)</f>
        <v>0.921406295153033</v>
      </c>
      <c r="AK22" s="50" t="n">
        <f aca="false">ASIN(COS($G$6*$G$2)*COS($G$6*AG22)*COS($G$6*AI22)+SIN($G$6*$G$2)*SIN($G$6*AG22))/$G$6</f>
        <v>-40.5388477762012</v>
      </c>
      <c r="AL22" s="18" t="n">
        <f aca="false">ASIN((0.9983271+0.0016764*COS($G$6*2*$G$2))*COS($G$6*AK22)*SIN($G$6*AJ22))/$G$6</f>
        <v>0.699868205469819</v>
      </c>
      <c r="AM22" s="18" t="n">
        <f aca="false">AK22-AL22</f>
        <v>-41.238715981671</v>
      </c>
      <c r="AN22" s="10" t="n">
        <f aca="false"> IF(280.4664567 + 360007.6982779*M22/10 + 0.03032028*M22^2/100 + M22^3/49931000&lt;0,MOD(280.4664567 + 360007.6982779*M22/10 + 0.03032028*M22^2/100 + M22^3/49931000+360,360),MOD(280.4664567 + 360007.6982779*M22/10 + 0.03032028*M22^2/100 + M22^3/49931000,360))</f>
        <v>209.430511089164</v>
      </c>
      <c r="AO22" s="27" t="n">
        <f aca="false"> AN22 + (1.9146 - 0.004817*M22 - 0.000014*M22^2)*SIN(R22)+ (0.019993 - 0.000101*M22)*SIN(2*R22)+ 0.00029*SIN(3*R22)</f>
        <v>207.58160856017</v>
      </c>
      <c r="AP22" s="18" t="n">
        <f aca="false">ACOS(COS(X22-$G$6*AO22)*COS(Y22))/$G$6</f>
        <v>53.8282981702166</v>
      </c>
      <c r="AQ22" s="25" t="n">
        <f aca="false">180 - AP22 -0.1468*(1-0.0549*SIN(R22))*SIN($G$6*AP22)/(1-0.0167*SIN($G$6*AO22))</f>
        <v>126.047903749809</v>
      </c>
      <c r="AR22" s="25" t="n">
        <f aca="false">SIN($G$6*AI22)</f>
        <v>-0.785551450771025</v>
      </c>
      <c r="AS22" s="25" t="n">
        <f aca="false">COS($G$6*AI22)*SIN($G$6*$G$2) - TAN($G$6*AG22)*COS($G$6*$G$2)</f>
        <v>0.000917311569791968</v>
      </c>
      <c r="AT22" s="25" t="n">
        <f aca="false">IF(OR(AND(AR22*AS22&gt;0), AND(AR22&lt;0,AS22&gt;0)), MOD(ATAN2(AS22,AR22)/$G$6+360,360),  ATAN2(AS22,AR22)/$G$6)</f>
        <v>270.066905939142</v>
      </c>
      <c r="AU22" s="18" t="n">
        <f aca="false">IF((X22-X21)/$G$6&lt;0,(X22-X21)/$G$6+360,(X22-X21)/$G$6)</f>
        <v>12.2628978262282</v>
      </c>
      <c r="AV22" s="29" t="n">
        <f aca="false">(1+SIN($G$6*H22)*SIN($G$6*AJ22))*120*ASIN(0.272481*SIN($G$6*AJ22))/$G$6</f>
        <v>29.8073255715447</v>
      </c>
      <c r="AW22" s="10" t="n">
        <f aca="false">COS(X22)</f>
        <v>-0.898097497972349</v>
      </c>
      <c r="AX22" s="10" t="n">
        <f aca="false">SIN(X22)</f>
        <v>0.439796412145218</v>
      </c>
      <c r="AY22" s="30" t="n">
        <f aca="false"> 385000.56 + (-20905355*COS(Q22) - 3699111*COS(2*S22-Q22) - 2955968*COS(2*S22) - 569925*COS(2*Q22) + (1-0.002516*M22)*48888*COS(R22) - 3149*COS(2*T22)  +246158*COS(2*S22-2*Q22) -(1-0.002516*M22)*152138*COS(2*S22-R22-Q22) -170733*COS(2*S22+Q22) -(1-0.002516*M22)*204586*COS(2*S22-R22) -(1-0.002516*M22)*129620*COS(R22-Q22)  + 108743*COS(S22) +(1-0.002516*M22)*104755*COS(R22+Q22) +10321*COS(2*S22-2*T22) +79661*COS(Q22-2*T22) -34782*COS(4*S22-Q22) -23210*COS(3*Q22)  -21636*COS(4*S22-2*Q22) +(1-0.002516*M22)*24208*COS(2*S22+R22-Q22) +(1-0.002516*M22)*30824*COS(2*S22+R22) -8379*COS(S22-Q22) -(1-0.002516*M22)*16675*COS(S22+R22)  -(1-0.002516*M22)*12831*COS(2*S22-R22+Q22) -10445*COS(2*S22+2*Q22) -11650*COS(4*S22) +14403*COS(2*S22-3*Q22) -(1-0.002516*M22)*7003*COS(R22-2*Q22)  + (1-0.002516*M22)*10056*COS(2*S22-R22-2*Q22) +6322*COS(S22+Q22) -(1-0.002516*M22)*(1-0.002516*M22)*9884*COS(2*S22-2*R22) +(1-0.002516*M22)*5751*COS(R22+2*Q22) -(1-0.002516*M22)*(1-0.002516*M22)*4950*COS(2*S22-2*R22-Q22)  +4130*COS(2*S22+Q22-2*T22) -(1-0.002516*M22)*3958*COS(4*S22-R22-Q22) +3258*COS(3*S22-Q22) +(1-0.002516*M22)*2616*COS(2*S22+R22+Q22) -(1-0.002516*M22)*1897*COS(4*S22-R22-2*Q22)  -(1-0.002516*M22)*(1-0.002516*M22)*2117*COS(2*R22-Q22) +(1-0.002516*M22)*(1-0.002516*M22)*2354*COS(2*S22+2*R22-Q22) -1423*COS(4*S22+Q22) -1117*COS(4*Q22) -(1-0.002516*M22)*1571*COS(4*S22-R22)  -1739*COS(S22-2*Q22) -4421*COS(2*Q22-2*T22) +(1-0.002516*M22)*(1-0.002516*M22)*1165*COS(2*R22+Q22) +8752*COS(2*S22-Q22-2*T22))/1000</f>
        <v>396525.927066574</v>
      </c>
      <c r="AZ22" s="17" t="n">
        <f aca="false">AZ21+1</f>
        <v>294</v>
      </c>
      <c r="BA22" s="17" t="n">
        <v>21</v>
      </c>
      <c r="BB22" s="32" t="n">
        <f aca="false">ATAN(0.99664719*TAN($G$6*input!$E$2))</f>
        <v>-0.400219206115995</v>
      </c>
      <c r="BC22" s="32" t="n">
        <f aca="false">COS(BB22)</f>
        <v>0.920975608992155</v>
      </c>
      <c r="BD22" s="32" t="n">
        <f aca="false">0.99664719*SIN(BB22)</f>
        <v>-0.388313912533463</v>
      </c>
      <c r="BE22" s="32" t="n">
        <f aca="false">6378.14/AY22</f>
        <v>0.0160850516060433</v>
      </c>
      <c r="BF22" s="33" t="n">
        <f aca="false">N22-15*AH22</f>
        <v>-128.228290483718</v>
      </c>
      <c r="BG22" s="27" t="n">
        <f aca="false">COS($G$6*AG22)*SIN($G$6*BF22)</f>
        <v>-0.759964932902496</v>
      </c>
      <c r="BH22" s="27" t="n">
        <f aca="false">COS($G$6*AG22)*COS($G$6*BF22)-BC22*BE22</f>
        <v>-0.613455217396838</v>
      </c>
      <c r="BI22" s="27" t="n">
        <f aca="false">SIN($G$6*AG22)-BD22*BE22</f>
        <v>0.259390122910795</v>
      </c>
      <c r="BJ22" s="46" t="n">
        <f aca="false">SQRT(BG22^2+BH22^2+BI22^2)</f>
        <v>1.01052325003266</v>
      </c>
      <c r="BK22" s="35" t="n">
        <f aca="false">AY22*BJ22</f>
        <v>400698.668541528</v>
      </c>
      <c r="BL22" s="51" t="str">
        <f aca="false">IF(OR(AND(BK22&gt;BK21,BK22&gt;BK23),AND(BK22&lt;BK21,BK22&lt;BK23)),BK22,"")</f>
        <v/>
      </c>
    </row>
    <row r="23" customFormat="false" ht="15" hidden="false" customHeight="false" outlineLevel="0" collapsed="false">
      <c r="A23" s="20"/>
      <c r="B23" s="20"/>
      <c r="C23" s="20"/>
      <c r="D23" s="17" t="n">
        <v>22</v>
      </c>
      <c r="E23" s="17" t="n">
        <f aca="false">$E$2</f>
        <v>10</v>
      </c>
      <c r="F23" s="17" t="n">
        <f aca="false">$F$2</f>
        <v>2022</v>
      </c>
      <c r="H23" s="39" t="n">
        <f aca="false">AM23</f>
        <v>-49.0009474814239</v>
      </c>
      <c r="I23" s="48" t="n">
        <f aca="false">H23+1.02/(TAN($G$6*(H23+10.3/(H23+5.11)))*60)</f>
        <v>-49.0156030545642</v>
      </c>
      <c r="J23" s="39" t="n">
        <f aca="false">100*(1+COS($G$6*AQ23))/2</f>
        <v>13.1038362137731</v>
      </c>
      <c r="K23" s="48" t="n">
        <f aca="false">IF(AI23&gt;180,AT23-180,AT23+180)</f>
        <v>102.115068328161</v>
      </c>
      <c r="L23" s="10" t="n">
        <f aca="false">L22+1</f>
        <v>2459874.5</v>
      </c>
      <c r="M23" s="49" t="n">
        <f aca="false">(L23-2451545)/36525</f>
        <v>0.228049281314168</v>
      </c>
      <c r="N23" s="10" t="n">
        <f aca="false">MOD(280.46061837+360.98564736629*(L23-2451545)+0.000387933*M23^2-M23^3/38710000+$G$4,360)</f>
        <v>30.4103760574944</v>
      </c>
      <c r="O23" s="24" t="n">
        <f aca="false">0.60643382+1336.85522467*M23 - 0.00000313*M23^2 - INT(0.60643382+1336.85522467*M23 - 0.00000313*M23^2)</f>
        <v>0.475306864304343</v>
      </c>
      <c r="P23" s="10" t="n">
        <f aca="false">22640*SIN(Q23)-4586*SIN(Q23-2*S23)+2370*SIN(2*S23)+769*SIN(2*Q23)-668*SIN(R23)-412*SIN(2*T23)-212*SIN(2*Q23-2*S23)-206*SIN(Q23+R23-2*S23)+192*SIN(Q23+2*S23)-165*SIN(R23-2*S23)-125*SIN(S23)-110*SIN(Q23+R23)+148*SIN(Q23-R23)-55*SIN(2*T23-2*S23)</f>
        <v>-16878.5668185162</v>
      </c>
      <c r="Q23" s="18" t="n">
        <f aca="false">2*PI()*(0.374897+1325.55241*M23 - INT(0.374897+1325.55241*M23))</f>
        <v>4.1856786338028</v>
      </c>
      <c r="R23" s="26" t="n">
        <f aca="false">2*PI()*(0.993133+99.997361*M23 - INT(0.993133+99.997361*M23))</f>
        <v>5.01058461566601</v>
      </c>
      <c r="S23" s="26" t="n">
        <f aca="false">2*PI()*(0.827361+1236.853086*M23 - INT(0.827361+1236.853086*M23))</f>
        <v>5.59717679014806</v>
      </c>
      <c r="T23" s="26" t="n">
        <f aca="false">2*PI()*(0.259086+1342.227825*M23 - INT(0.259086+1342.227825*M23))</f>
        <v>2.21907560185205</v>
      </c>
      <c r="U23" s="26" t="n">
        <f aca="false">T23+(P23+412*SIN(2*T23)+541*SIN(R23))/206264.8062</f>
        <v>2.13281611744189</v>
      </c>
      <c r="V23" s="26" t="n">
        <f aca="false">T23-2*S23</f>
        <v>-8.97527797844408</v>
      </c>
      <c r="W23" s="25" t="n">
        <f aca="false">-526*SIN(V23)+44*SIN(Q23+V23)-31*SIN(-Q23+V23)-23*SIN(R23+V23)+11*SIN(-R23+V23)-25*SIN(-2*Q23+T23)+21*SIN(-Q23+T23)</f>
        <v>239.410160840581</v>
      </c>
      <c r="X23" s="26" t="n">
        <f aca="false">2*PI()*(O23+P23/1296000-INT(O23+P23/1296000))</f>
        <v>2.90461150508727</v>
      </c>
      <c r="Y23" s="26" t="n">
        <f aca="false">(18520*SIN(U23)+W23)/206264.8062</f>
        <v>0.0771371194551218</v>
      </c>
      <c r="Z23" s="26" t="n">
        <f aca="false">Y23*180/PI()</f>
        <v>4.41963138857495</v>
      </c>
      <c r="AA23" s="26" t="n">
        <f aca="false">COS(Y23)*COS(X23)</f>
        <v>-0.969160652384748</v>
      </c>
      <c r="AB23" s="26" t="n">
        <f aca="false">COS(Y23)*SIN(X23)</f>
        <v>0.234071114583379</v>
      </c>
      <c r="AC23" s="26" t="n">
        <f aca="false">SIN(Y23)</f>
        <v>0.0770606461617345</v>
      </c>
      <c r="AD23" s="26" t="n">
        <f aca="false">COS($G$6*(23.4393-46.815*M23/3600))*AB23-SIN($G$6*(23.4393-46.815*M23/3600))*AC23</f>
        <v>0.184111537245601</v>
      </c>
      <c r="AE23" s="26" t="n">
        <f aca="false">SIN($G$6*(23.4393-46.815*M23/3600))*AB23+COS($G$6*(23.4393-46.815*M23/3600))*AC23</f>
        <v>0.16380040208202</v>
      </c>
      <c r="AF23" s="26" t="n">
        <f aca="false">SQRT(1-AE23*AE23)</f>
        <v>0.986493501386486</v>
      </c>
      <c r="AG23" s="10" t="n">
        <f aca="false">ATAN(AE23/AF23)/$G$6</f>
        <v>9.42755448079969</v>
      </c>
      <c r="AH23" s="26" t="n">
        <f aca="false">IF(24*ATAN(AD23/(AA23+AF23))/PI()&gt;0,24*ATAN(AD23/(AA23+AF23))/PI(),24*ATAN(AD23/(AA23+AF23))/PI()+24)</f>
        <v>11.2829124584762</v>
      </c>
      <c r="AI23" s="10" t="n">
        <f aca="false">IF(N23-15*AH23&gt;0,N23-15*AH23,360+N23-15*AH23)</f>
        <v>221.166689180351</v>
      </c>
      <c r="AJ23" s="18" t="n">
        <f aca="false">0.950724+0.051818*COS(Q23)+0.009531*COS(2*S23-Q23)+0.007843*COS(2*S23)+0.002824*COS(2*Q23)+0.000857*COS(2*S23+Q23)+0.000533*COS(2*S23-R23)+0.000401*COS(2*S23-R23-Q23)+0.00032*COS(Q23-R23)-0.000271*COS(S23)</f>
        <v>0.931518694907497</v>
      </c>
      <c r="AK23" s="50" t="n">
        <f aca="false">ASIN(COS($G$6*$G$2)*COS($G$6*AG23)*COS($G$6*AI23)+SIN($G$6*$G$2)*SIN($G$6*AG23))/$G$6</f>
        <v>-48.3826061149153</v>
      </c>
      <c r="AL23" s="18" t="n">
        <f aca="false">ASIN((0.9983271+0.0016764*COS($G$6*2*$G$2))*COS($G$6*AK23)*SIN($G$6*AJ23))/$G$6</f>
        <v>0.618341366508625</v>
      </c>
      <c r="AM23" s="18" t="n">
        <f aca="false">AK23-AL23</f>
        <v>-49.0009474814239</v>
      </c>
      <c r="AN23" s="10" t="n">
        <f aca="false"> IF(280.4664567 + 360007.6982779*M23/10 + 0.03032028*M23^2/100 + M23^3/49931000&lt;0,MOD(280.4664567 + 360007.6982779*M23/10 + 0.03032028*M23^2/100 + M23^3/49931000+360,360),MOD(280.4664567 + 360007.6982779*M23/10 + 0.03032028*M23^2/100 + M23^3/49931000,360))</f>
        <v>210.416158453054</v>
      </c>
      <c r="AO23" s="27" t="n">
        <f aca="false"> AN23 + (1.9146 - 0.004817*M23 - 0.000014*M23^2)*SIN(R23)+ (0.019993 - 0.000101*M23)*SIN(2*R23)+ 0.00029*SIN(3*R23)</f>
        <v>208.576069158453</v>
      </c>
      <c r="AP23" s="18" t="n">
        <f aca="false">ACOS(COS(X23-$G$6*AO23)*COS(Y23))/$G$6</f>
        <v>42.3419484566769</v>
      </c>
      <c r="AQ23" s="25" t="n">
        <f aca="false">180 - AP23 -0.1468*(1-0.0549*SIN(R23))*SIN($G$6*AP23)/(1-0.0167*SIN($G$6*AO23))</f>
        <v>137.554809716208</v>
      </c>
      <c r="AR23" s="25" t="n">
        <f aca="false">SIN($G$6*AI23)</f>
        <v>-0.658251907224889</v>
      </c>
      <c r="AS23" s="25" t="n">
        <f aca="false">COS($G$6*AI23)*SIN($G$6*$G$2) - TAN($G$6*AG23)*COS($G$6*$G$2)</f>
        <v>0.141298062803345</v>
      </c>
      <c r="AT23" s="25" t="n">
        <f aca="false">IF(OR(AND(AR23*AS23&gt;0), AND(AR23&lt;0,AS23&gt;0)), MOD(ATAN2(AS23,AR23)/$G$6+360,360),  ATAN2(AS23,AR23)/$G$6)</f>
        <v>282.115068328161</v>
      </c>
      <c r="AU23" s="18" t="n">
        <f aca="false">IF((X23-X22)/$G$6&lt;0,(X23-X22)/$G$6+360,(X23-X22)/$G$6)</f>
        <v>12.5128725217398</v>
      </c>
      <c r="AV23" s="29" t="n">
        <f aca="false">(1+SIN($G$6*H23)*SIN($G$6*AJ23))*120*ASIN(0.272481*SIN($G$6*AJ23))/$G$6</f>
        <v>30.0835916942953</v>
      </c>
      <c r="AW23" s="10" t="n">
        <f aca="false">COS(X23)</f>
        <v>-0.972051136568173</v>
      </c>
      <c r="AX23" s="10" t="n">
        <f aca="false">SIN(X23)</f>
        <v>0.234769222634748</v>
      </c>
      <c r="AY23" s="30" t="n">
        <f aca="false"> 385000.56 + (-20905355*COS(Q23) - 3699111*COS(2*S23-Q23) - 2955968*COS(2*S23) - 569925*COS(2*Q23) + (1-0.002516*M23)*48888*COS(R23) - 3149*COS(2*T23)  +246158*COS(2*S23-2*Q23) -(1-0.002516*M23)*152138*COS(2*S23-R23-Q23) -170733*COS(2*S23+Q23) -(1-0.002516*M23)*204586*COS(2*S23-R23) -(1-0.002516*M23)*129620*COS(R23-Q23)  + 108743*COS(S23) +(1-0.002516*M23)*104755*COS(R23+Q23) +10321*COS(2*S23-2*T23) +79661*COS(Q23-2*T23) -34782*COS(4*S23-Q23) -23210*COS(3*Q23)  -21636*COS(4*S23-2*Q23) +(1-0.002516*M23)*24208*COS(2*S23+R23-Q23) +(1-0.002516*M23)*30824*COS(2*S23+R23) -8379*COS(S23-Q23) -(1-0.002516*M23)*16675*COS(S23+R23)  -(1-0.002516*M23)*12831*COS(2*S23-R23+Q23) -10445*COS(2*S23+2*Q23) -11650*COS(4*S23) +14403*COS(2*S23-3*Q23) -(1-0.002516*M23)*7003*COS(R23-2*Q23)  + (1-0.002516*M23)*10056*COS(2*S23-R23-2*Q23) +6322*COS(S23+Q23) -(1-0.002516*M23)*(1-0.002516*M23)*9884*COS(2*S23-2*R23) +(1-0.002516*M23)*5751*COS(R23+2*Q23) -(1-0.002516*M23)*(1-0.002516*M23)*4950*COS(2*S23-2*R23-Q23)  +4130*COS(2*S23+Q23-2*T23) -(1-0.002516*M23)*3958*COS(4*S23-R23-Q23) +3258*COS(3*S23-Q23) +(1-0.002516*M23)*2616*COS(2*S23+R23+Q23) -(1-0.002516*M23)*1897*COS(4*S23-R23-2*Q23)  -(1-0.002516*M23)*(1-0.002516*M23)*2117*COS(2*R23-Q23) +(1-0.002516*M23)*(1-0.002516*M23)*2354*COS(2*S23+2*R23-Q23) -1423*COS(4*S23+Q23) -1117*COS(4*Q23) -(1-0.002516*M23)*1571*COS(4*S23-R23)  -1739*COS(S23-2*Q23) -4421*COS(2*Q23-2*T23) +(1-0.002516*M23)*(1-0.002516*M23)*1165*COS(2*R23+Q23) +8752*COS(2*S23-Q23-2*T23))/1000</f>
        <v>392178.44519009</v>
      </c>
      <c r="AZ23" s="17" t="n">
        <f aca="false">AZ22+1</f>
        <v>295</v>
      </c>
      <c r="BA23" s="17" t="n">
        <v>22</v>
      </c>
      <c r="BB23" s="32" t="n">
        <f aca="false">ATAN(0.99664719*TAN($G$6*input!$E$2))</f>
        <v>-0.400219206115995</v>
      </c>
      <c r="BC23" s="32" t="n">
        <f aca="false">COS(BB23)</f>
        <v>0.920975608992155</v>
      </c>
      <c r="BD23" s="32" t="n">
        <f aca="false">0.99664719*SIN(BB23)</f>
        <v>-0.388313912533463</v>
      </c>
      <c r="BE23" s="32" t="n">
        <f aca="false">6378.14/AY23</f>
        <v>0.016263361942058</v>
      </c>
      <c r="BF23" s="33" t="n">
        <f aca="false">N23-15*AH23</f>
        <v>-138.833310819649</v>
      </c>
      <c r="BG23" s="27" t="n">
        <f aca="false">COS($G$6*AG23)*SIN($G$6*BF23)</f>
        <v>-0.649361228752612</v>
      </c>
      <c r="BH23" s="27" t="n">
        <f aca="false">COS($G$6*AG23)*COS($G$6*BF23)-BC23*BE23</f>
        <v>-0.757608231017069</v>
      </c>
      <c r="BI23" s="27" t="n">
        <f aca="false">SIN($G$6*AG23)-BD23*BE23</f>
        <v>0.170115691788688</v>
      </c>
      <c r="BJ23" s="46" t="n">
        <f aca="false">SQRT(BG23^2+BH23^2+BI23^2)</f>
        <v>1.01221518745011</v>
      </c>
      <c r="BK23" s="35" t="n">
        <f aca="false">AY23*BJ23</f>
        <v>396968.978411979</v>
      </c>
      <c r="BL23" s="51" t="str">
        <f aca="false">IF(OR(AND(BK23&gt;BK22,BK23&gt;BK24),AND(BK23&lt;BK22,BK23&lt;BK24)),BK23,"")</f>
        <v/>
      </c>
    </row>
    <row r="24" customFormat="false" ht="15" hidden="false" customHeight="false" outlineLevel="0" collapsed="false">
      <c r="A24" s="20"/>
      <c r="B24" s="20"/>
      <c r="C24" s="20"/>
      <c r="D24" s="17" t="n">
        <v>23</v>
      </c>
      <c r="E24" s="17" t="n">
        <f aca="false">$E$2</f>
        <v>10</v>
      </c>
      <c r="F24" s="17" t="n">
        <f aca="false">$F$2</f>
        <v>2022</v>
      </c>
      <c r="H24" s="39" t="n">
        <f aca="false">AM24</f>
        <v>-55.1773905714994</v>
      </c>
      <c r="I24" s="48" t="n">
        <f aca="false">H24+1.02/(TAN($G$6*(H24+10.3/(H24+5.11)))*60)</f>
        <v>-55.189125482285</v>
      </c>
      <c r="J24" s="39" t="n">
        <f aca="false">100*(1+COS($G$6*AQ24))/2</f>
        <v>6.97163271317972</v>
      </c>
      <c r="K24" s="48" t="n">
        <f aca="false">IF(AI24&gt;180,AT24-180,AT24+180)</f>
        <v>118.525852439363</v>
      </c>
      <c r="L24" s="10" t="n">
        <f aca="false">L23+1</f>
        <v>2459875.5</v>
      </c>
      <c r="M24" s="49" t="n">
        <f aca="false">(L24-2451545)/36525</f>
        <v>0.22807665982204</v>
      </c>
      <c r="N24" s="10" t="n">
        <f aca="false">MOD(280.46061837+360.98564736629*(L24-2451545)+0.000387933*M24^2-M24^3/38710000+$G$4,360)</f>
        <v>31.3960234285332</v>
      </c>
      <c r="O24" s="24" t="n">
        <f aca="false">0.60643382+1336.85522467*M24 - 0.00000313*M24^2 - INT(0.60643382+1336.85522467*M24 - 0.00000313*M24^2)</f>
        <v>0.511907965556759</v>
      </c>
      <c r="P24" s="10" t="n">
        <f aca="false">22640*SIN(Q24)-4586*SIN(Q24-2*S24)+2370*SIN(2*S24)+769*SIN(2*Q24)-668*SIN(R24)-412*SIN(2*T24)-212*SIN(2*Q24-2*S24)-206*SIN(Q24+R24-2*S24)+192*SIN(Q24+2*S24)-165*SIN(R24-2*S24)-125*SIN(S24)-110*SIN(Q24+R24)+148*SIN(Q24-R24)-55*SIN(2*T24-2*S24)</f>
        <v>-18204.0435778458</v>
      </c>
      <c r="Q24" s="18" t="n">
        <f aca="false">2*PI()*(0.374897+1325.55241*M24 - INT(0.374897+1325.55241*M24))</f>
        <v>4.41370577757862</v>
      </c>
      <c r="R24" s="26" t="n">
        <f aca="false">2*PI()*(0.993133+99.997361*M24 - INT(0.993133+99.997361*M24))</f>
        <v>5.027786585533</v>
      </c>
      <c r="S24" s="26" t="n">
        <f aca="false">2*PI()*(0.827361+1236.853086*M24 - INT(0.827361+1236.853086*M24))</f>
        <v>5.80994550026709</v>
      </c>
      <c r="T24" s="26" t="n">
        <f aca="false">2*PI()*(0.259086+1342.227825*M24 - INT(0.259086+1342.227825*M24))</f>
        <v>2.44997132119305</v>
      </c>
      <c r="U24" s="26" t="n">
        <f aca="false">T24+(P24+412*SIN(2*T24)+541*SIN(R24))/206264.8062</f>
        <v>2.35725975798033</v>
      </c>
      <c r="V24" s="26" t="n">
        <f aca="false">T24-2*S24</f>
        <v>-9.16991967934112</v>
      </c>
      <c r="W24" s="25" t="n">
        <f aca="false">-526*SIN(V24)+44*SIN(Q24+V24)-31*SIN(-Q24+V24)-23*SIN(R24+V24)+11*SIN(-R24+V24)-25*SIN(-2*Q24+T24)+21*SIN(-Q24+T24)</f>
        <v>155.550356724765</v>
      </c>
      <c r="X24" s="26" t="n">
        <f aca="false">2*PI()*(O24+P24/1296000-INT(O24+P24/1296000))</f>
        <v>3.12815691403388</v>
      </c>
      <c r="Y24" s="26" t="n">
        <f aca="false">(18520*SIN(U24)+W24)/206264.8062</f>
        <v>0.0641758059496593</v>
      </c>
      <c r="Z24" s="26" t="n">
        <f aca="false">Y24*180/PI()</f>
        <v>3.67700282776604</v>
      </c>
      <c r="AA24" s="26" t="n">
        <f aca="false">COS(Y24)*COS(X24)</f>
        <v>-0.997851367242806</v>
      </c>
      <c r="AB24" s="26" t="n">
        <f aca="false">COS(Y24)*SIN(X24)</f>
        <v>0.0134076778761294</v>
      </c>
      <c r="AC24" s="26" t="n">
        <f aca="false">SIN(Y24)</f>
        <v>0.0641317633129881</v>
      </c>
      <c r="AD24" s="26" t="n">
        <f aca="false">COS($G$6*(23.4393-46.815*M24/3600))*AB24-SIN($G$6*(23.4393-46.815*M24/3600))*AC24</f>
        <v>-0.0132055344579628</v>
      </c>
      <c r="AE24" s="26" t="n">
        <f aca="false">SIN($G$6*(23.4393-46.815*M24/3600))*AB24+COS($G$6*(23.4393-46.815*M24/3600))*AC24</f>
        <v>0.0641736920501129</v>
      </c>
      <c r="AF24" s="26" t="n">
        <f aca="false">SQRT(1-AE24*AE24)</f>
        <v>0.997938744236668</v>
      </c>
      <c r="AG24" s="10" t="n">
        <f aca="false">ATAN(AE24/AF24)/$G$6</f>
        <v>3.67941012625683</v>
      </c>
      <c r="AH24" s="26" t="n">
        <f aca="false">IF(24*ATAN(AD24/(AA24+AF24))/PI()&gt;0,24*ATAN(AD24/(AA24+AF24))/PI(),24*ATAN(AD24/(AA24+AF24))/PI()+24)</f>
        <v>12.0505470887479</v>
      </c>
      <c r="AI24" s="10" t="n">
        <f aca="false">IF(N24-15*AH24&gt;0,N24-15*AH24,360+N24-15*AH24)</f>
        <v>210.637817097315</v>
      </c>
      <c r="AJ24" s="18" t="n">
        <f aca="false">0.950724+0.051818*COS(Q24)+0.009531*COS(2*S24-Q24)+0.007843*COS(2*S24)+0.002824*COS(2*Q24)+0.000857*COS(2*S24+Q24)+0.000533*COS(2*S24-R24)+0.000401*COS(2*S24-R24-Q24)+0.00032*COS(Q24-R24)-0.000271*COS(S24)</f>
        <v>0.942964059138716</v>
      </c>
      <c r="AK24" s="50" t="n">
        <f aca="false">ASIN(COS($G$6*$G$2)*COS($G$6*AG24)*COS($G$6*AI24)+SIN($G$6*$G$2)*SIN($G$6*AG24))/$G$6</f>
        <v>-54.6318707466742</v>
      </c>
      <c r="AL24" s="18" t="n">
        <f aca="false">ASIN((0.9983271+0.0016764*COS($G$6*2*$G$2))*COS($G$6*AK24)*SIN($G$6*AJ24))/$G$6</f>
        <v>0.545519824825183</v>
      </c>
      <c r="AM24" s="18" t="n">
        <f aca="false">AK24-AL24</f>
        <v>-55.1773905714994</v>
      </c>
      <c r="AN24" s="10" t="n">
        <f aca="false"> IF(280.4664567 + 360007.6982779*M24/10 + 0.03032028*M24^2/100 + M24^3/49931000&lt;0,MOD(280.4664567 + 360007.6982779*M24/10 + 0.03032028*M24^2/100 + M24^3/49931000+360,360),MOD(280.4664567 + 360007.6982779*M24/10 + 0.03032028*M24^2/100 + M24^3/49931000,360))</f>
        <v>211.401805816944</v>
      </c>
      <c r="AO24" s="27" t="n">
        <f aca="false"> AN24 + (1.9146 - 0.004817*M24 - 0.000014*M24^2)*SIN(R24)+ (0.019993 - 0.000101*M24)*SIN(2*R24)+ 0.00029*SIN(3*R24)</f>
        <v>209.571083765088</v>
      </c>
      <c r="AP24" s="18" t="n">
        <f aca="false">ACOS(COS(X24-$G$6*AO24)*COS(Y24))/$G$6</f>
        <v>30.5418050065326</v>
      </c>
      <c r="AQ24" s="25" t="n">
        <f aca="false">180 - AP24 -0.1468*(1-0.0549*SIN(R24))*SIN($G$6*AP24)/(1-0.0167*SIN($G$6*AO24))</f>
        <v>149.38034423672</v>
      </c>
      <c r="AR24" s="25" t="n">
        <f aca="false">SIN($G$6*AI24)</f>
        <v>-0.509609422852127</v>
      </c>
      <c r="AS24" s="25" t="n">
        <f aca="false">COS($G$6*AI24)*SIN($G$6*$G$2) - TAN($G$6*AG24)*COS($G$6*$G$2)</f>
        <v>0.276993141468207</v>
      </c>
      <c r="AT24" s="25" t="n">
        <f aca="false">IF(OR(AND(AR24*AS24&gt;0), AND(AR24&lt;0,AS24&gt;0)), MOD(ATAN2(AS24,AR24)/$G$6+360,360),  ATAN2(AS24,AR24)/$G$6)</f>
        <v>298.525852439363</v>
      </c>
      <c r="AU24" s="18" t="n">
        <f aca="false">IF((X24-X23)/$G$6&lt;0,(X24-X23)/$G$6+360,(X24-X23)/$G$6)</f>
        <v>12.8082084621669</v>
      </c>
      <c r="AV24" s="29" t="n">
        <f aca="false">(1+SIN($G$6*H24)*SIN($G$6*AJ24))*120*ASIN(0.272481*SIN($G$6*AJ24))/$G$6</f>
        <v>30.4149523977798</v>
      </c>
      <c r="AW24" s="10" t="n">
        <f aca="false">COS(X24)</f>
        <v>-0.999909741809082</v>
      </c>
      <c r="AX24" s="10" t="n">
        <f aca="false">SIN(X24)</f>
        <v>0.013435335324963</v>
      </c>
      <c r="AY24" s="30" t="n">
        <f aca="false"> 385000.56 + (-20905355*COS(Q24) - 3699111*COS(2*S24-Q24) - 2955968*COS(2*S24) - 569925*COS(2*Q24) + (1-0.002516*M24)*48888*COS(R24) - 3149*COS(2*T24)  +246158*COS(2*S24-2*Q24) -(1-0.002516*M24)*152138*COS(2*S24-R24-Q24) -170733*COS(2*S24+Q24) -(1-0.002516*M24)*204586*COS(2*S24-R24) -(1-0.002516*M24)*129620*COS(R24-Q24)  + 108743*COS(S24) +(1-0.002516*M24)*104755*COS(R24+Q24) +10321*COS(2*S24-2*T24) +79661*COS(Q24-2*T24) -34782*COS(4*S24-Q24) -23210*COS(3*Q24)  -21636*COS(4*S24-2*Q24) +(1-0.002516*M24)*24208*COS(2*S24+R24-Q24) +(1-0.002516*M24)*30824*COS(2*S24+R24) -8379*COS(S24-Q24) -(1-0.002516*M24)*16675*COS(S24+R24)  -(1-0.002516*M24)*12831*COS(2*S24-R24+Q24) -10445*COS(2*S24+2*Q24) -11650*COS(4*S24) +14403*COS(2*S24-3*Q24) -(1-0.002516*M24)*7003*COS(R24-2*Q24)  + (1-0.002516*M24)*10056*COS(2*S24-R24-2*Q24) +6322*COS(S24+Q24) -(1-0.002516*M24)*(1-0.002516*M24)*9884*COS(2*S24-2*R24) +(1-0.002516*M24)*5751*COS(R24+2*Q24) -(1-0.002516*M24)*(1-0.002516*M24)*4950*COS(2*S24-2*R24-Q24)  +4130*COS(2*S24+Q24-2*T24) -(1-0.002516*M24)*3958*COS(4*S24-R24-Q24) +3258*COS(3*S24-Q24) +(1-0.002516*M24)*2616*COS(2*S24+R24+Q24) -(1-0.002516*M24)*1897*COS(4*S24-R24-2*Q24)  -(1-0.002516*M24)*(1-0.002516*M24)*2117*COS(2*R24-Q24) +(1-0.002516*M24)*(1-0.002516*M24)*2354*COS(2*S24+2*R24-Q24) -1423*COS(4*S24+Q24) -1117*COS(4*Q24) -(1-0.002516*M24)*1571*COS(4*S24-R24)  -1739*COS(S24-2*Q24) -4421*COS(2*Q24-2*T24) +(1-0.002516*M24)*(1-0.002516*M24)*1165*COS(2*R24+Q24) +8752*COS(2*S24-Q24-2*T24))/1000</f>
        <v>387428.461622192</v>
      </c>
      <c r="AZ24" s="17" t="n">
        <f aca="false">AZ23+1</f>
        <v>296</v>
      </c>
      <c r="BA24" s="17" t="n">
        <v>23</v>
      </c>
      <c r="BB24" s="32" t="n">
        <f aca="false">ATAN(0.99664719*TAN($G$6*input!$E$2))</f>
        <v>-0.400219206115995</v>
      </c>
      <c r="BC24" s="32" t="n">
        <f aca="false">COS(BB24)</f>
        <v>0.920975608992155</v>
      </c>
      <c r="BD24" s="32" t="n">
        <f aca="false">0.99664719*SIN(BB24)</f>
        <v>-0.388313912533463</v>
      </c>
      <c r="BE24" s="32" t="n">
        <f aca="false">6378.14/AY24</f>
        <v>0.0164627554033957</v>
      </c>
      <c r="BF24" s="33" t="n">
        <f aca="false">N24-15*AH24</f>
        <v>-149.362182902685</v>
      </c>
      <c r="BG24" s="27" t="n">
        <f aca="false">COS($G$6*AG24)*SIN($G$6*BF24)</f>
        <v>-0.508558987492223</v>
      </c>
      <c r="BH24" s="27" t="n">
        <f aca="false">COS($G$6*AG24)*COS($G$6*BF24)-BC24*BE24</f>
        <v>-0.873794135132629</v>
      </c>
      <c r="BI24" s="27" t="n">
        <f aca="false">SIN($G$6*AG24)-BD24*BE24</f>
        <v>0.0705664090118869</v>
      </c>
      <c r="BJ24" s="46" t="n">
        <f aca="false">SQRT(BG24^2+BH24^2+BI24^2)</f>
        <v>1.01347326182398</v>
      </c>
      <c r="BK24" s="35" t="n">
        <f aca="false">AY24*BJ24</f>
        <v>392648.386723687</v>
      </c>
      <c r="BL24" s="51" t="str">
        <f aca="false">IF(OR(AND(BK24&gt;BK23,BK24&gt;BK25),AND(BK24&lt;BK23,BK24&lt;BK25)),BK24,"")</f>
        <v/>
      </c>
    </row>
    <row r="25" customFormat="false" ht="15" hidden="false" customHeight="false" outlineLevel="0" collapsed="false">
      <c r="A25" s="20"/>
      <c r="B25" s="20"/>
      <c r="C25" s="20"/>
      <c r="D25" s="17" t="n">
        <v>24</v>
      </c>
      <c r="E25" s="17" t="n">
        <f aca="false">$E$2</f>
        <v>10</v>
      </c>
      <c r="F25" s="17" t="n">
        <f aca="false">$F$2</f>
        <v>2022</v>
      </c>
      <c r="H25" s="39" t="n">
        <f aca="false">AM25</f>
        <v>-58.5350753136984</v>
      </c>
      <c r="I25" s="48" t="n">
        <f aca="false">H25+1.02/(TAN($G$6*(H25+10.3/(H25+5.11)))*60)</f>
        <v>-58.5454001534813</v>
      </c>
      <c r="J25" s="39" t="n">
        <f aca="false">100*(1+COS($G$6*AQ25))/2</f>
        <v>2.57000128510639</v>
      </c>
      <c r="K25" s="48" t="n">
        <f aca="false">IF(AI25&gt;180,AT25-180,AT25+180)</f>
        <v>139.91892414659</v>
      </c>
      <c r="L25" s="10" t="n">
        <f aca="false">L24+1</f>
        <v>2459876.5</v>
      </c>
      <c r="M25" s="49" t="n">
        <f aca="false">(L25-2451545)/36525</f>
        <v>0.228104038329911</v>
      </c>
      <c r="N25" s="10" t="n">
        <f aca="false">MOD(280.46061837+360.98564736629*(L25-2451545)+0.000387933*M25^2-M25^3/38710000+$G$4,360)</f>
        <v>32.3816707991064</v>
      </c>
      <c r="O25" s="24" t="n">
        <f aca="false">0.60643382+1336.85522467*M25 - 0.00000313*M25^2 - INT(0.60643382+1336.85522467*M25 - 0.00000313*M25^2)</f>
        <v>0.548509066809061</v>
      </c>
      <c r="P25" s="10" t="n">
        <f aca="false">22640*SIN(Q25)-4586*SIN(Q25-2*S25)+2370*SIN(2*S25)+769*SIN(2*Q25)-668*SIN(R25)-412*SIN(2*T25)-212*SIN(2*Q25-2*S25)-206*SIN(Q25+R25-2*S25)+192*SIN(Q25+2*S25)-165*SIN(R25-2*S25)-125*SIN(S25)-110*SIN(Q25+R25)+148*SIN(Q25-R25)-55*SIN(2*T25-2*S25)</f>
        <v>-18369.3343294154</v>
      </c>
      <c r="Q25" s="18" t="n">
        <f aca="false">2*PI()*(0.374897+1325.55241*M25 - INT(0.374897+1325.55241*M25))</f>
        <v>4.64173292135408</v>
      </c>
      <c r="R25" s="26" t="n">
        <f aca="false">2*PI()*(0.993133+99.997361*M25 - INT(0.993133+99.997361*M25))</f>
        <v>5.0449885554</v>
      </c>
      <c r="S25" s="26" t="n">
        <f aca="false">2*PI()*(0.827361+1236.853086*M25 - INT(0.827361+1236.853086*M25))</f>
        <v>6.02271421038611</v>
      </c>
      <c r="T25" s="26" t="n">
        <f aca="false">2*PI()*(0.259086+1342.227825*M25 - INT(0.259086+1342.227825*M25))</f>
        <v>2.68086704053406</v>
      </c>
      <c r="U25" s="26" t="n">
        <f aca="false">T25+(P25+412*SIN(2*T25)+541*SIN(R25))/206264.8062</f>
        <v>2.58773997788558</v>
      </c>
      <c r="V25" s="26" t="n">
        <f aca="false">T25-2*S25</f>
        <v>-9.36456138023817</v>
      </c>
      <c r="W25" s="25" t="n">
        <f aca="false">-526*SIN(V25)+44*SIN(Q25+V25)-31*SIN(-Q25+V25)-23*SIN(R25+V25)+11*SIN(-R25+V25)-25*SIN(-2*Q25+T25)+21*SIN(-Q25+T25)</f>
        <v>62.9723384789883</v>
      </c>
      <c r="X25" s="26" t="n">
        <f aca="false">2*PI()*(O25+P25/1296000-INT(O25+P25/1296000))</f>
        <v>3.35732706347172</v>
      </c>
      <c r="Y25" s="26" t="n">
        <f aca="false">(18520*SIN(U25)+W25)/206264.8062</f>
        <v>0.0475306328603047</v>
      </c>
      <c r="Z25" s="26" t="n">
        <f aca="false">Y25*180/PI()</f>
        <v>2.72330466048128</v>
      </c>
      <c r="AA25" s="26" t="n">
        <f aca="false">COS(Y25)*COS(X25)</f>
        <v>-0.975716257776977</v>
      </c>
      <c r="AB25" s="26" t="n">
        <f aca="false">COS(Y25)*SIN(X25)</f>
        <v>-0.213823113827247</v>
      </c>
      <c r="AC25" s="26" t="n">
        <f aca="false">SIN(Y25)</f>
        <v>0.0475127383226031</v>
      </c>
      <c r="AD25" s="26" t="n">
        <f aca="false">COS($G$6*(23.4393-46.815*M25/3600))*AB25-SIN($G$6*(23.4393-46.815*M25/3600))*AC25</f>
        <v>-0.215080493147276</v>
      </c>
      <c r="AE25" s="26" t="n">
        <f aca="false">SIN($G$6*(23.4393-46.815*M25/3600))*AB25+COS($G$6*(23.4393-46.815*M25/3600))*AC25</f>
        <v>-0.0414507632887077</v>
      </c>
      <c r="AF25" s="26" t="n">
        <f aca="false">SQRT(1-AE25*AE25)</f>
        <v>0.999140547782335</v>
      </c>
      <c r="AG25" s="10" t="n">
        <f aca="false">ATAN(AE25/AF25)/$G$6</f>
        <v>-2.37563441446385</v>
      </c>
      <c r="AH25" s="26" t="n">
        <f aca="false">IF(24*ATAN(AD25/(AA25+AF25))/PI()&gt;0,24*ATAN(AD25/(AA25+AF25))/PI(),24*ATAN(AD25/(AA25+AF25))/PI()+24)</f>
        <v>12.8287402850781</v>
      </c>
      <c r="AI25" s="10" t="n">
        <f aca="false">IF(N25-15*AH25&gt;0,N25-15*AH25,360+N25-15*AH25)</f>
        <v>199.950566522935</v>
      </c>
      <c r="AJ25" s="18" t="n">
        <f aca="false">0.950724+0.051818*COS(Q25)+0.009531*COS(2*S25-Q25)+0.007843*COS(2*S25)+0.002824*COS(2*Q25)+0.000857*COS(2*S25+Q25)+0.000533*COS(2*S25-R25)+0.000401*COS(2*S25-R25-Q25)+0.00032*COS(Q25-R25)-0.000271*COS(S25)</f>
        <v>0.954892631444965</v>
      </c>
      <c r="AK25" s="50" t="n">
        <f aca="false">ASIN(COS($G$6*$G$2)*COS($G$6*AG25)*COS($G$6*AI25)+SIN($G$6*$G$2)*SIN($G$6*AG25))/$G$6</f>
        <v>-58.0297537830179</v>
      </c>
      <c r="AL25" s="18" t="n">
        <f aca="false">ASIN((0.9983271+0.0016764*COS($G$6*2*$G$2))*COS($G$6*AK25)*SIN($G$6*AJ25))/$G$6</f>
        <v>0.505321530680497</v>
      </c>
      <c r="AM25" s="18" t="n">
        <f aca="false">AK25-AL25</f>
        <v>-58.5350753136984</v>
      </c>
      <c r="AN25" s="10" t="n">
        <f aca="false"> IF(280.4664567 + 360007.6982779*M25/10 + 0.03032028*M25^2/100 + M25^3/49931000&lt;0,MOD(280.4664567 + 360007.6982779*M25/10 + 0.03032028*M25^2/100 + M25^3/49931000+360,360),MOD(280.4664567 + 360007.6982779*M25/10 + 0.03032028*M25^2/100 + M25^3/49931000,360))</f>
        <v>212.387453180836</v>
      </c>
      <c r="AO25" s="27" t="n">
        <f aca="false"> AN25 + (1.9146 - 0.004817*M25 - 0.000014*M25^2)*SIN(R25)+ (0.019993 - 0.000101*M25)*SIN(2*R25)+ 0.00029*SIN(3*R25)</f>
        <v>210.566650134973</v>
      </c>
      <c r="AP25" s="18" t="n">
        <f aca="false">ACOS(COS(X25-$G$6*AO25)*COS(Y25))/$G$6</f>
        <v>18.4017042463757</v>
      </c>
      <c r="AQ25" s="25" t="n">
        <f aca="false">180 - AP25 -0.1468*(1-0.0549*SIN(R25))*SIN($G$6*AP25)/(1-0.0167*SIN($G$6*AO25))</f>
        <v>161.549960111377</v>
      </c>
      <c r="AR25" s="25" t="n">
        <f aca="false">SIN($G$6*AI25)</f>
        <v>-0.341209271009428</v>
      </c>
      <c r="AS25" s="25" t="n">
        <f aca="false">COS($G$6*AI25)*SIN($G$6*$G$2) - TAN($G$6*AG25)*COS($G$6*$G$2)</f>
        <v>0.405470771128409</v>
      </c>
      <c r="AT25" s="25" t="n">
        <f aca="false">IF(OR(AND(AR25*AS25&gt;0), AND(AR25&lt;0,AS25&gt;0)), MOD(ATAN2(AS25,AR25)/$G$6+360,360),  ATAN2(AS25,AR25)/$G$6)</f>
        <v>319.91892414659</v>
      </c>
      <c r="AU25" s="18" t="n">
        <f aca="false">IF((X25-X24)/$G$6&lt;0,(X25-X24)/$G$6+360,(X25-X24)/$G$6)</f>
        <v>13.1304823531704</v>
      </c>
      <c r="AV25" s="29" t="n">
        <f aca="false">(1+SIN($G$6*H25)*SIN($G$6*AJ25))*120*ASIN(0.272481*SIN($G$6*AJ25))/$G$6</f>
        <v>30.7776671775379</v>
      </c>
      <c r="AW25" s="10" t="n">
        <f aca="false">COS(X25)</f>
        <v>-0.976819446291376</v>
      </c>
      <c r="AX25" s="10" t="n">
        <f aca="false">SIN(X25)</f>
        <v>-0.214064871819293</v>
      </c>
      <c r="AY25" s="30" t="n">
        <f aca="false"> 385000.56 + (-20905355*COS(Q25) - 3699111*COS(2*S25-Q25) - 2955968*COS(2*S25) - 569925*COS(2*Q25) + (1-0.002516*M25)*48888*COS(R25) - 3149*COS(2*T25)  +246158*COS(2*S25-2*Q25) -(1-0.002516*M25)*152138*COS(2*S25-R25-Q25) -170733*COS(2*S25+Q25) -(1-0.002516*M25)*204586*COS(2*S25-R25) -(1-0.002516*M25)*129620*COS(R25-Q25)  + 108743*COS(S25) +(1-0.002516*M25)*104755*COS(R25+Q25) +10321*COS(2*S25-2*T25) +79661*COS(Q25-2*T25) -34782*COS(4*S25-Q25) -23210*COS(3*Q25)  -21636*COS(4*S25-2*Q25) +(1-0.002516*M25)*24208*COS(2*S25+R25-Q25) +(1-0.002516*M25)*30824*COS(2*S25+R25) -8379*COS(S25-Q25) -(1-0.002516*M25)*16675*COS(S25+R25)  -(1-0.002516*M25)*12831*COS(2*S25-R25+Q25) -10445*COS(2*S25+2*Q25) -11650*COS(4*S25) +14403*COS(2*S25-3*Q25) -(1-0.002516*M25)*7003*COS(R25-2*Q25)  + (1-0.002516*M25)*10056*COS(2*S25-R25-2*Q25) +6322*COS(S25+Q25) -(1-0.002516*M25)*(1-0.002516*M25)*9884*COS(2*S25-2*R25) +(1-0.002516*M25)*5751*COS(R25+2*Q25) -(1-0.002516*M25)*(1-0.002516*M25)*4950*COS(2*S25-2*R25-Q25)  +4130*COS(2*S25+Q25-2*T25) -(1-0.002516*M25)*3958*COS(4*S25-R25-Q25) +3258*COS(3*S25-Q25) +(1-0.002516*M25)*2616*COS(2*S25+R25+Q25) -(1-0.002516*M25)*1897*COS(4*S25-R25-2*Q25)  -(1-0.002516*M25)*(1-0.002516*M25)*2117*COS(2*R25-Q25) +(1-0.002516*M25)*(1-0.002516*M25)*2354*COS(2*S25+2*R25-Q25) -1423*COS(4*S25+Q25) -1117*COS(4*Q25) -(1-0.002516*M25)*1571*COS(4*S25-R25)  -1739*COS(S25-2*Q25) -4421*COS(2*Q25-2*T25) +(1-0.002516*M25)*(1-0.002516*M25)*1165*COS(2*R25+Q25) +8752*COS(2*S25-Q25-2*T25))/1000</f>
        <v>382644.337384136</v>
      </c>
      <c r="AZ25" s="17" t="n">
        <f aca="false">AZ24+1</f>
        <v>297</v>
      </c>
      <c r="BA25" s="17" t="n">
        <v>24</v>
      </c>
      <c r="BB25" s="32" t="n">
        <f aca="false">ATAN(0.99664719*TAN($G$6*input!$E$2))</f>
        <v>-0.400219206115995</v>
      </c>
      <c r="BC25" s="32" t="n">
        <f aca="false">COS(BB25)</f>
        <v>0.920975608992155</v>
      </c>
      <c r="BD25" s="32" t="n">
        <f aca="false">0.99664719*SIN(BB25)</f>
        <v>-0.388313912533463</v>
      </c>
      <c r="BE25" s="32" t="n">
        <f aca="false">6378.14/AY25</f>
        <v>0.0166685858821347</v>
      </c>
      <c r="BF25" s="33" t="n">
        <f aca="false">N25-15*AH25</f>
        <v>-160.049433477065</v>
      </c>
      <c r="BG25" s="27" t="n">
        <f aca="false">COS($G$6*AG25)*SIN($G$6*BF25)</f>
        <v>-0.34091601794477</v>
      </c>
      <c r="BH25" s="27" t="n">
        <f aca="false">COS($G$6*AG25)*COS($G$6*BF25)-BC25*BE25</f>
        <v>-0.954530844908706</v>
      </c>
      <c r="BI25" s="27" t="n">
        <f aca="false">SIN($G$6*AG25)-BD25*BE25</f>
        <v>-0.0349781194884159</v>
      </c>
      <c r="BJ25" s="46" t="n">
        <f aca="false">SQRT(BG25^2+BH25^2+BI25^2)</f>
        <v>1.01418752408832</v>
      </c>
      <c r="BK25" s="35" t="n">
        <f aca="false">AY25*BJ25</f>
        <v>388073.113138032</v>
      </c>
      <c r="BL25" s="51" t="str">
        <f aca="false">IF(OR(AND(BK25&gt;BK24,BK25&gt;BK26),AND(BK25&lt;BK24,BK25&lt;BK26)),BK25,"")</f>
        <v/>
      </c>
    </row>
    <row r="26" customFormat="false" ht="15" hidden="false" customHeight="false" outlineLevel="0" collapsed="false">
      <c r="A26" s="20"/>
      <c r="B26" s="20"/>
      <c r="C26" s="20"/>
      <c r="D26" s="17" t="n">
        <v>25</v>
      </c>
      <c r="E26" s="17" t="n">
        <f aca="false">$E$2</f>
        <v>10</v>
      </c>
      <c r="F26" s="17" t="n">
        <f aca="false">$F$2</f>
        <v>2022</v>
      </c>
      <c r="H26" s="39" t="n">
        <f aca="false">AM26</f>
        <v>-57.865055300867</v>
      </c>
      <c r="I26" s="48" t="n">
        <f aca="false">H26+1.02/(TAN($G$6*(H26+10.3/(H26+5.11)))*60)</f>
        <v>-57.8756532200562</v>
      </c>
      <c r="J26" s="39" t="n">
        <f aca="false">100*(1+COS($G$6*AQ26))/2</f>
        <v>0.271999294278513</v>
      </c>
      <c r="K26" s="48" t="n">
        <f aca="false">IF(AI26&gt;180,AT26-180,AT26+180)</f>
        <v>163.627396015451</v>
      </c>
      <c r="L26" s="10" t="n">
        <f aca="false">L25+1</f>
        <v>2459877.5</v>
      </c>
      <c r="M26" s="49" t="n">
        <f aca="false">(L26-2451545)/36525</f>
        <v>0.228131416837782</v>
      </c>
      <c r="N26" s="10" t="n">
        <f aca="false">MOD(280.46061837+360.98564736629*(L26-2451545)+0.000387933*M26^2-M26^3/38710000+$G$4,360)</f>
        <v>33.3673181706108</v>
      </c>
      <c r="O26" s="24" t="n">
        <f aca="false">0.60643382+1336.85522467*M26 - 0.00000313*M26^2 - INT(0.60643382+1336.85522467*M26 - 0.00000313*M26^2)</f>
        <v>0.585110168061419</v>
      </c>
      <c r="P26" s="10" t="n">
        <f aca="false">22640*SIN(Q26)-4586*SIN(Q26-2*S26)+2370*SIN(2*S26)+769*SIN(2*Q26)-668*SIN(R26)-412*SIN(2*T26)-212*SIN(2*Q26-2*S26)-206*SIN(Q26+R26-2*S26)+192*SIN(Q26+2*S26)-165*SIN(R26-2*S26)-125*SIN(S26)-110*SIN(Q26+R26)+148*SIN(Q26-R26)-55*SIN(2*T26-2*S26)</f>
        <v>-17364.2138723991</v>
      </c>
      <c r="Q26" s="18" t="n">
        <f aca="false">2*PI()*(0.374897+1325.55241*M26 - INT(0.374897+1325.55241*M26))</f>
        <v>4.8697600651299</v>
      </c>
      <c r="R26" s="26" t="n">
        <f aca="false">2*PI()*(0.993133+99.997361*M26 - INT(0.993133+99.997361*M26))</f>
        <v>5.06219052526699</v>
      </c>
      <c r="S26" s="26" t="n">
        <f aca="false">2*PI()*(0.827361+1236.853086*M26 - INT(0.827361+1236.853086*M26))</f>
        <v>6.23548292050514</v>
      </c>
      <c r="T26" s="26" t="n">
        <f aca="false">2*PI()*(0.259086+1342.227825*M26 - INT(0.259086+1342.227825*M26))</f>
        <v>2.91176275987506</v>
      </c>
      <c r="U26" s="26" t="n">
        <f aca="false">T26+(P26+412*SIN(2*T26)+541*SIN(R26))/206264.8062</f>
        <v>2.82422852337779</v>
      </c>
      <c r="V26" s="26" t="n">
        <f aca="false">T26-2*S26</f>
        <v>-9.55920308113521</v>
      </c>
      <c r="W26" s="25" t="n">
        <f aca="false">-526*SIN(V26)+44*SIN(Q26+V26)-31*SIN(-Q26+V26)-23*SIN(R26+V26)+11*SIN(-R26+V26)-25*SIN(-2*Q26+T26)+21*SIN(-Q26+T26)</f>
        <v>-35.514904297341</v>
      </c>
      <c r="X26" s="26" t="n">
        <f aca="false">2*PI()*(O26+P26/1296000-INT(O26+P26/1296000))</f>
        <v>3.59217152657438</v>
      </c>
      <c r="Y26" s="26" t="n">
        <f aca="false">(18520*SIN(U26)+W26)/206264.8062</f>
        <v>0.027847210344021</v>
      </c>
      <c r="Z26" s="26" t="n">
        <f aca="false">Y26*180/PI()</f>
        <v>1.59552762392545</v>
      </c>
      <c r="AA26" s="26" t="n">
        <f aca="false">COS(Y26)*COS(X26)</f>
        <v>-0.899846148381028</v>
      </c>
      <c r="AB26" s="26" t="n">
        <f aca="false">COS(Y26)*SIN(X26)</f>
        <v>-0.435317863806338</v>
      </c>
      <c r="AC26" s="26" t="n">
        <f aca="false">SIN(Y26)</f>
        <v>0.0278436113842151</v>
      </c>
      <c r="AD26" s="26" t="n">
        <f aca="false">COS($G$6*(23.4393-46.815*M26/3600))*AB26-SIN($G$6*(23.4393-46.815*M26/3600))*AC26</f>
        <v>-0.410479503566387</v>
      </c>
      <c r="AE26" s="26" t="n">
        <f aca="false">SIN($G$6*(23.4393-46.815*M26/3600))*AB26+COS($G$6*(23.4393-46.815*M26/3600))*AC26</f>
        <v>-0.147592297887527</v>
      </c>
      <c r="AF26" s="26" t="n">
        <f aca="false">SQRT(1-AE26*AE26)</f>
        <v>0.989048286791034</v>
      </c>
      <c r="AG26" s="10" t="n">
        <f aca="false">ATAN(AE26/AF26)/$G$6</f>
        <v>-8.48742237717936</v>
      </c>
      <c r="AH26" s="26" t="n">
        <f aca="false">IF(24*ATAN(AD26/(AA26+AF26))/PI()&gt;0,24*ATAN(AD26/(AA26+AF26))/PI(),24*ATAN(AD26/(AA26+AF26))/PI()+24)</f>
        <v>13.6347249467676</v>
      </c>
      <c r="AI26" s="10" t="n">
        <f aca="false">IF(N26-15*AH26&gt;0,N26-15*AH26,360+N26-15*AH26)</f>
        <v>188.846443969097</v>
      </c>
      <c r="AJ26" s="18" t="n">
        <f aca="false">0.950724+0.051818*COS(Q26)+0.009531*COS(2*S26-Q26)+0.007843*COS(2*S26)+0.002824*COS(2*Q26)+0.000857*COS(2*S26+Q26)+0.000533*COS(2*S26-R26)+0.000401*COS(2*S26-R26-Q26)+0.00032*COS(Q26-R26)-0.000271*COS(S26)</f>
        <v>0.966346359734007</v>
      </c>
      <c r="AK26" s="50" t="n">
        <f aca="false">ASIN(COS($G$6*$G$2)*COS($G$6*AG26)*COS($G$6*AI26)+SIN($G$6*$G$2)*SIN($G$6*AG26))/$G$6</f>
        <v>-57.3439018872639</v>
      </c>
      <c r="AL26" s="18" t="n">
        <f aca="false">ASIN((0.9983271+0.0016764*COS($G$6*2*$G$2))*COS($G$6*AK26)*SIN($G$6*AJ26))/$G$6</f>
        <v>0.52115341360311</v>
      </c>
      <c r="AM26" s="18" t="n">
        <f aca="false">AK26-AL26</f>
        <v>-57.865055300867</v>
      </c>
      <c r="AN26" s="10" t="n">
        <f aca="false"> IF(280.4664567 + 360007.6982779*M26/10 + 0.03032028*M26^2/100 + M26^3/49931000&lt;0,MOD(280.4664567 + 360007.6982779*M26/10 + 0.03032028*M26^2/100 + M26^3/49931000+360,360),MOD(280.4664567 + 360007.6982779*M26/10 + 0.03032028*M26^2/100 + M26^3/49931000,360))</f>
        <v>213.373100544726</v>
      </c>
      <c r="AO26" s="27" t="n">
        <f aca="false"> AN26 + (1.9146 - 0.004817*M26 - 0.000014*M26^2)*SIN(R26)+ (0.019993 - 0.000101*M26)*SIN(2*R26)+ 0.00029*SIN(3*R26)</f>
        <v>211.56276584843</v>
      </c>
      <c r="AP26" s="18" t="n">
        <f aca="false">ACOS(COS(X26-$G$6*AO26)*COS(Y26))/$G$6</f>
        <v>5.96317085317472</v>
      </c>
      <c r="AQ26" s="25" t="n">
        <f aca="false">180 - AP26 -0.1468*(1-0.0549*SIN(R26))*SIN($G$6*AP26)/(1-0.0167*SIN($G$6*AO26))</f>
        <v>174.020930619046</v>
      </c>
      <c r="AR26" s="25" t="n">
        <f aca="false">SIN($G$6*AI26)</f>
        <v>-0.15378684403725</v>
      </c>
      <c r="AS26" s="25" t="n">
        <f aca="false">COS($G$6*AI26)*SIN($G$6*$G$2) - TAN($G$6*AG26)*COS($G$6*$G$2)</f>
        <v>0.523446804562806</v>
      </c>
      <c r="AT26" s="25" t="n">
        <f aca="false">IF(OR(AND(AR26*AS26&gt;0), AND(AR26&lt;0,AS26&gt;0)), MOD(ATAN2(AS26,AR26)/$G$6+360,360),  ATAN2(AS26,AR26)/$G$6)</f>
        <v>343.627396015451</v>
      </c>
      <c r="AU26" s="18" t="n">
        <f aca="false">IF((X26-X25)/$G$6&lt;0,(X26-X25)/$G$6+360,(X26-X25)/$G$6)</f>
        <v>13.4555965777981</v>
      </c>
      <c r="AV26" s="29" t="n">
        <f aca="false">(1+SIN($G$6*H26)*SIN($G$6*AJ26))*120*ASIN(0.272481*SIN($G$6*AJ26))/$G$6</f>
        <v>31.1447032969291</v>
      </c>
      <c r="AW26" s="10" t="n">
        <f aca="false">COS(X26)</f>
        <v>-0.900195161702641</v>
      </c>
      <c r="AX26" s="10" t="n">
        <f aca="false">SIN(X26)</f>
        <v>-0.435486705706564</v>
      </c>
      <c r="AY26" s="30" t="n">
        <f aca="false"> 385000.56 + (-20905355*COS(Q26) - 3699111*COS(2*S26-Q26) - 2955968*COS(2*S26) - 569925*COS(2*Q26) + (1-0.002516*M26)*48888*COS(R26) - 3149*COS(2*T26)  +246158*COS(2*S26-2*Q26) -(1-0.002516*M26)*152138*COS(2*S26-R26-Q26) -170733*COS(2*S26+Q26) -(1-0.002516*M26)*204586*COS(2*S26-R26) -(1-0.002516*M26)*129620*COS(R26-Q26)  + 108743*COS(S26) +(1-0.002516*M26)*104755*COS(R26+Q26) +10321*COS(2*S26-2*T26) +79661*COS(Q26-2*T26) -34782*COS(4*S26-Q26) -23210*COS(3*Q26)  -21636*COS(4*S26-2*Q26) +(1-0.002516*M26)*24208*COS(2*S26+R26-Q26) +(1-0.002516*M26)*30824*COS(2*S26+R26) -8379*COS(S26-Q26) -(1-0.002516*M26)*16675*COS(S26+R26)  -(1-0.002516*M26)*12831*COS(2*S26-R26+Q26) -10445*COS(2*S26+2*Q26) -11650*COS(4*S26) +14403*COS(2*S26-3*Q26) -(1-0.002516*M26)*7003*COS(R26-2*Q26)  + (1-0.002516*M26)*10056*COS(2*S26-R26-2*Q26) +6322*COS(S26+Q26) -(1-0.002516*M26)*(1-0.002516*M26)*9884*COS(2*S26-2*R26) +(1-0.002516*M26)*5751*COS(R26+2*Q26) -(1-0.002516*M26)*(1-0.002516*M26)*4950*COS(2*S26-2*R26-Q26)  +4130*COS(2*S26+Q26-2*T26) -(1-0.002516*M26)*3958*COS(4*S26-R26-Q26) +3258*COS(3*S26-Q26) +(1-0.002516*M26)*2616*COS(2*S26+R26+Q26) -(1-0.002516*M26)*1897*COS(4*S26-R26-2*Q26)  -(1-0.002516*M26)*(1-0.002516*M26)*2117*COS(2*R26-Q26) +(1-0.002516*M26)*(1-0.002516*M26)*2354*COS(2*S26+2*R26-Q26) -1423*COS(4*S26+Q26) -1117*COS(4*Q26) -(1-0.002516*M26)*1571*COS(4*S26-R26)  -1739*COS(S26-2*Q26) -4421*COS(2*Q26-2*T26) +(1-0.002516*M26)*(1-0.002516*M26)*1165*COS(2*R26+Q26) +8752*COS(2*S26-Q26-2*T26))/1000</f>
        <v>378187.391599323</v>
      </c>
      <c r="AZ26" s="17" t="n">
        <f aca="false">AZ25+1</f>
        <v>298</v>
      </c>
      <c r="BA26" s="17" t="n">
        <v>25</v>
      </c>
      <c r="BB26" s="32" t="n">
        <f aca="false">ATAN(0.99664719*TAN($G$6*input!$E$2))</f>
        <v>-0.400219206115995</v>
      </c>
      <c r="BC26" s="32" t="n">
        <f aca="false">COS(BB26)</f>
        <v>0.920975608992155</v>
      </c>
      <c r="BD26" s="32" t="n">
        <f aca="false">0.99664719*SIN(BB26)</f>
        <v>-0.388313912533463</v>
      </c>
      <c r="BE26" s="32" t="n">
        <f aca="false">6378.14/AY26</f>
        <v>0.0168650254918002</v>
      </c>
      <c r="BF26" s="33" t="n">
        <f aca="false">N26-15*AH26</f>
        <v>-171.153556030903</v>
      </c>
      <c r="BG26" s="27" t="n">
        <f aca="false">COS($G$6*AG26)*SIN($G$6*BF26)</f>
        <v>-0.152102614626041</v>
      </c>
      <c r="BH26" s="27" t="n">
        <f aca="false">COS($G$6*AG26)*COS($G$6*BF26)-BC26*BE26</f>
        <v>-0.992814891430734</v>
      </c>
      <c r="BI26" s="27" t="n">
        <f aca="false">SIN($G$6*AG26)-BD26*BE26</f>
        <v>-0.14104337385383</v>
      </c>
      <c r="BJ26" s="46" t="n">
        <f aca="false">SQRT(BG26^2+BH26^2+BI26^2)</f>
        <v>1.01425334474714</v>
      </c>
      <c r="BK26" s="35" t="n">
        <f aca="false">AY26*BJ26</f>
        <v>383577.826870812</v>
      </c>
      <c r="BL26" s="51" t="str">
        <f aca="false">IF(OR(AND(BK26&gt;BK25,BK26&gt;BK27),AND(BK26&lt;BK25,BK26&lt;BK27)),BK26,"")</f>
        <v/>
      </c>
    </row>
    <row r="27" customFormat="false" ht="15" hidden="false" customHeight="false" outlineLevel="0" collapsed="false">
      <c r="A27" s="20"/>
      <c r="B27" s="20"/>
      <c r="C27" s="20"/>
      <c r="D27" s="17" t="n">
        <v>26</v>
      </c>
      <c r="E27" s="17" t="n">
        <f aca="false">$E$2</f>
        <v>10</v>
      </c>
      <c r="F27" s="17" t="n">
        <f aca="false">$F$2</f>
        <v>2022</v>
      </c>
      <c r="H27" s="39" t="n">
        <f aca="false">AM27</f>
        <v>-53.1375808513121</v>
      </c>
      <c r="I27" s="48" t="n">
        <f aca="false">H27+1.02/(TAN($G$6*(H27+10.3/(H27+5.11)))*60)</f>
        <v>-53.1502282574318</v>
      </c>
      <c r="J27" s="39" t="n">
        <f aca="false">100*(1+COS($G$6*AQ27))/2</f>
        <v>0.37705190600259</v>
      </c>
      <c r="K27" s="48" t="n">
        <f aca="false">IF(AI27&gt;180,AT27-180,AT27+180)</f>
        <v>184.677688454351</v>
      </c>
      <c r="L27" s="10" t="n">
        <f aca="false">L26+1</f>
        <v>2459878.5</v>
      </c>
      <c r="M27" s="49" t="n">
        <f aca="false">(L27-2451545)/36525</f>
        <v>0.228158795345654</v>
      </c>
      <c r="N27" s="10" t="n">
        <f aca="false">MOD(280.46061837+360.98564736629*(L27-2451545)+0.000387933*M27^2-M27^3/38710000+$G$4,360)</f>
        <v>34.3529655416496</v>
      </c>
      <c r="O27" s="24" t="n">
        <f aca="false">0.60643382+1336.85522467*M27 - 0.00000313*M27^2 - INT(0.60643382+1336.85522467*M27 - 0.00000313*M27^2)</f>
        <v>0.621711269313778</v>
      </c>
      <c r="P27" s="10" t="n">
        <f aca="false">22640*SIN(Q27)-4586*SIN(Q27-2*S27)+2370*SIN(2*S27)+769*SIN(2*Q27)-668*SIN(R27)-412*SIN(2*T27)-212*SIN(2*Q27-2*S27)-206*SIN(Q27+R27-2*S27)+192*SIN(Q27+2*S27)-165*SIN(R27-2*S27)-125*SIN(S27)-110*SIN(Q27+R27)+148*SIN(Q27-R27)-55*SIN(2*T27-2*S27)</f>
        <v>-15275.2785015437</v>
      </c>
      <c r="Q27" s="18" t="n">
        <f aca="false">2*PI()*(0.374897+1325.55241*M27 - INT(0.374897+1325.55241*M27))</f>
        <v>5.09778720890572</v>
      </c>
      <c r="R27" s="26" t="n">
        <f aca="false">2*PI()*(0.993133+99.997361*M27 - INT(0.993133+99.997361*M27))</f>
        <v>5.079392495134</v>
      </c>
      <c r="S27" s="26" t="n">
        <f aca="false">2*PI()*(0.827361+1236.853086*M27 - INT(0.827361+1236.853086*M27))</f>
        <v>0.165066323444575</v>
      </c>
      <c r="T27" s="26" t="n">
        <f aca="false">2*PI()*(0.259086+1342.227825*M27 - INT(0.259086+1342.227825*M27))</f>
        <v>3.14265847921571</v>
      </c>
      <c r="U27" s="26" t="n">
        <f aca="false">T27+(P27+412*SIN(2*T27)+541*SIN(R27))/206264.8062</f>
        <v>3.06615791862324</v>
      </c>
      <c r="V27" s="26" t="n">
        <f aca="false">T27-2*S27</f>
        <v>2.81252583232656</v>
      </c>
      <c r="W27" s="25" t="n">
        <f aca="false">-526*SIN(V27)+44*SIN(Q27+V27)-31*SIN(-Q27+V27)-23*SIN(R27+V27)+11*SIN(-R27+V27)-25*SIN(-2*Q27+T27)+21*SIN(-Q27+T27)</f>
        <v>-136.127204603701</v>
      </c>
      <c r="X27" s="26" t="n">
        <f aca="false">2*PI()*(O27+P27/1296000-INT(O27+P27/1296000))</f>
        <v>3.83227047265723</v>
      </c>
      <c r="Y27" s="26" t="n">
        <f aca="false">(18520*SIN(U27)+W27)/206264.8062</f>
        <v>0.00610671070766707</v>
      </c>
      <c r="Z27" s="26" t="n">
        <f aca="false">Y27*180/PI()</f>
        <v>0.349888750256671</v>
      </c>
      <c r="AA27" s="26" t="n">
        <f aca="false">COS(Y27)*COS(X27)</f>
        <v>-0.770800008293001</v>
      </c>
      <c r="AB27" s="26" t="n">
        <f aca="false">COS(Y27)*SIN(X27)</f>
        <v>-0.637047922658415</v>
      </c>
      <c r="AC27" s="26" t="n">
        <f aca="false">SIN(Y27)</f>
        <v>0.00610667275258105</v>
      </c>
      <c r="AD27" s="26" t="n">
        <f aca="false">COS($G$6*(23.4393-46.815*M27/3600))*AB27-SIN($G$6*(23.4393-46.815*M27/3600))*AC27</f>
        <v>-0.586921929549207</v>
      </c>
      <c r="AE27" s="26" t="n">
        <f aca="false">SIN($G$6*(23.4393-46.815*M27/3600))*AB27+COS($G$6*(23.4393-46.815*M27/3600))*AC27</f>
        <v>-0.247770046272233</v>
      </c>
      <c r="AF27" s="26" t="n">
        <f aca="false">SQRT(1-AE27*AE27)</f>
        <v>0.968818870672045</v>
      </c>
      <c r="AG27" s="10" t="n">
        <f aca="false">ATAN(AE27/AF27)/$G$6</f>
        <v>-14.3455941553217</v>
      </c>
      <c r="AH27" s="26" t="n">
        <f aca="false">IF(24*ATAN(AD27/(AA27+AF27))/PI()&gt;0,24*ATAN(AD27/(AA27+AF27))/PI(),24*ATAN(AD27/(AA27+AF27))/PI()+24)</f>
        <v>14.4858188631028</v>
      </c>
      <c r="AI27" s="10" t="n">
        <f aca="false">IF(N27-15*AH27&gt;0,N27-15*AH27,360+N27-15*AH27)</f>
        <v>177.065682595108</v>
      </c>
      <c r="AJ27" s="18" t="n">
        <f aca="false">0.950724+0.051818*COS(Q27)+0.009531*COS(2*S27-Q27)+0.007843*COS(2*S27)+0.002824*COS(2*Q27)+0.000857*COS(2*S27+Q27)+0.000533*COS(2*S27-R27)+0.000401*COS(2*S27-R27-Q27)+0.00032*COS(Q27-R27)-0.000271*COS(S27)</f>
        <v>0.976392682451751</v>
      </c>
      <c r="AK27" s="50" t="n">
        <f aca="false">ASIN(COS($G$6*$G$2)*COS($G$6*AG27)*COS($G$6*AI27)+SIN($G$6*$G$2)*SIN($G$6*AG27))/$G$6</f>
        <v>-52.5441071223919</v>
      </c>
      <c r="AL27" s="18" t="n">
        <f aca="false">ASIN((0.9983271+0.0016764*COS($G$6*2*$G$2))*COS($G$6*AK27)*SIN($G$6*AJ27))/$G$6</f>
        <v>0.593473728920117</v>
      </c>
      <c r="AM27" s="18" t="n">
        <f aca="false">AK27-AL27</f>
        <v>-53.1375808513121</v>
      </c>
      <c r="AN27" s="10" t="n">
        <f aca="false"> IF(280.4664567 + 360007.6982779*M27/10 + 0.03032028*M27^2/100 + M27^3/49931000&lt;0,MOD(280.4664567 + 360007.6982779*M27/10 + 0.03032028*M27^2/100 + M27^3/49931000+360,360),MOD(280.4664567 + 360007.6982779*M27/10 + 0.03032028*M27^2/100 + M27^3/49931000,360))</f>
        <v>214.358747908616</v>
      </c>
      <c r="AO27" s="27" t="n">
        <f aca="false"> AN27 + (1.9146 - 0.004817*M27 - 0.000014*M27^2)*SIN(R27)+ (0.019993 - 0.000101*M27)*SIN(2*R27)+ 0.00029*SIN(3*R27)</f>
        <v>212.559428311281</v>
      </c>
      <c r="AP27" s="18" t="n">
        <f aca="false">ACOS(COS(X27-$G$6*AO27)*COS(Y27))/$G$6</f>
        <v>7.02217433213746</v>
      </c>
      <c r="AQ27" s="25" t="n">
        <f aca="false">180 - AP27 -0.1468*(1-0.0549*SIN(R27))*SIN($G$6*AP27)/(1-0.0167*SIN($G$6*AO27))</f>
        <v>172.959127244682</v>
      </c>
      <c r="AR27" s="25" t="n">
        <f aca="false">SIN($G$6*AI27)</f>
        <v>0.0511911156289259</v>
      </c>
      <c r="AS27" s="25" t="n">
        <f aca="false">COS($G$6*AI27)*SIN($G$6*$G$2) - TAN($G$6*AG27)*COS($G$6*$G$2)</f>
        <v>0.625632835920645</v>
      </c>
      <c r="AT27" s="25" t="n">
        <f aca="false">IF(OR(AND(AR27*AS27&gt;0), AND(AR27&lt;0,AS27&gt;0)), MOD(ATAN2(AS27,AR27)/$G$6+360,360),  ATAN2(AS27,AR27)/$G$6)</f>
        <v>4.67768845435057</v>
      </c>
      <c r="AU27" s="18" t="n">
        <f aca="false">IF((X27-X26)/$G$6&lt;0,(X27-X26)/$G$6+360,(X27-X26)/$G$6)</f>
        <v>13.7566562760867</v>
      </c>
      <c r="AV27" s="29" t="n">
        <f aca="false">(1+SIN($G$6*H27)*SIN($G$6*AJ27))*120*ASIN(0.272481*SIN($G$6*AJ27))/$G$6</f>
        <v>31.4891369409006</v>
      </c>
      <c r="AW27" s="10" t="n">
        <f aca="false">COS(X27)</f>
        <v>-0.770814380820779</v>
      </c>
      <c r="AX27" s="10" t="n">
        <f aca="false">SIN(X27)</f>
        <v>-0.637059801211691</v>
      </c>
      <c r="AY27" s="30" t="n">
        <f aca="false"> 385000.56 + (-20905355*COS(Q27) - 3699111*COS(2*S27-Q27) - 2955968*COS(2*S27) - 569925*COS(2*Q27) + (1-0.002516*M27)*48888*COS(R27) - 3149*COS(2*T27)  +246158*COS(2*S27-2*Q27) -(1-0.002516*M27)*152138*COS(2*S27-R27-Q27) -170733*COS(2*S27+Q27) -(1-0.002516*M27)*204586*COS(2*S27-R27) -(1-0.002516*M27)*129620*COS(R27-Q27)  + 108743*COS(S27) +(1-0.002516*M27)*104755*COS(R27+Q27) +10321*COS(2*S27-2*T27) +79661*COS(Q27-2*T27) -34782*COS(4*S27-Q27) -23210*COS(3*Q27)  -21636*COS(4*S27-2*Q27) +(1-0.002516*M27)*24208*COS(2*S27+R27-Q27) +(1-0.002516*M27)*30824*COS(2*S27+R27) -8379*COS(S27-Q27) -(1-0.002516*M27)*16675*COS(S27+R27)  -(1-0.002516*M27)*12831*COS(2*S27-R27+Q27) -10445*COS(2*S27+2*Q27) -11650*COS(4*S27) +14403*COS(2*S27-3*Q27) -(1-0.002516*M27)*7003*COS(R27-2*Q27)  + (1-0.002516*M27)*10056*COS(2*S27-R27-2*Q27) +6322*COS(S27+Q27) -(1-0.002516*M27)*(1-0.002516*M27)*9884*COS(2*S27-2*R27) +(1-0.002516*M27)*5751*COS(R27+2*Q27) -(1-0.002516*M27)*(1-0.002516*M27)*4950*COS(2*S27-2*R27-Q27)  +4130*COS(2*S27+Q27-2*T27) -(1-0.002516*M27)*3958*COS(4*S27-R27-Q27) +3258*COS(3*S27-Q27) +(1-0.002516*M27)*2616*COS(2*S27+R27+Q27) -(1-0.002516*M27)*1897*COS(4*S27-R27-2*Q27)  -(1-0.002516*M27)*(1-0.002516*M27)*2117*COS(2*R27-Q27) +(1-0.002516*M27)*(1-0.002516*M27)*2354*COS(2*S27+2*R27-Q27) -1423*COS(4*S27+Q27) -1117*COS(4*Q27) -(1-0.002516*M27)*1571*COS(4*S27-R27)  -1739*COS(S27-2*Q27) -4421*COS(2*Q27-2*T27) +(1-0.002516*M27)*(1-0.002516*M27)*1165*COS(2*R27+Q27) +8752*COS(2*S27-Q27-2*T27))/1000</f>
        <v>374369.771007691</v>
      </c>
      <c r="AZ27" s="17" t="n">
        <f aca="false">AZ26+1</f>
        <v>299</v>
      </c>
      <c r="BA27" s="17" t="n">
        <v>26</v>
      </c>
      <c r="BB27" s="32" t="n">
        <f aca="false">ATAN(0.99664719*TAN($G$6*input!$E$2))</f>
        <v>-0.400219206115995</v>
      </c>
      <c r="BC27" s="32" t="n">
        <f aca="false">COS(BB27)</f>
        <v>0.920975608992155</v>
      </c>
      <c r="BD27" s="32" t="n">
        <f aca="false">0.99664719*SIN(BB27)</f>
        <v>-0.388313912533463</v>
      </c>
      <c r="BE27" s="32" t="n">
        <f aca="false">6378.14/AY27</f>
        <v>0.017037005906839</v>
      </c>
      <c r="BF27" s="33" t="n">
        <f aca="false">N27-15*AH27</f>
        <v>-182.934317404892</v>
      </c>
      <c r="BG27" s="27" t="n">
        <f aca="false">COS($G$6*AG27)*SIN($G$6*BF27)</f>
        <v>0.0495949188320591</v>
      </c>
      <c r="BH27" s="27" t="n">
        <f aca="false">COS($G$6*AG27)*COS($G$6*BF27)-BC27*BE27</f>
        <v>-0.983239295227189</v>
      </c>
      <c r="BI27" s="27" t="n">
        <f aca="false">SIN($G$6*AG27)-BD27*BE27</f>
        <v>-0.241154339850692</v>
      </c>
      <c r="BJ27" s="46" t="n">
        <f aca="false">SQRT(BG27^2+BH27^2+BI27^2)</f>
        <v>1.01359488124282</v>
      </c>
      <c r="BK27" s="35" t="n">
        <f aca="false">AY27*BJ27</f>
        <v>379459.283585441</v>
      </c>
      <c r="BL27" s="51" t="str">
        <f aca="false">IF(OR(AND(BK27&gt;BK26,BK27&gt;BK28),AND(BK27&lt;BK26,BK27&lt;BK28)),BK27,"")</f>
        <v/>
      </c>
    </row>
    <row r="28" customFormat="false" ht="15" hidden="false" customHeight="false" outlineLevel="0" collapsed="false">
      <c r="A28" s="20"/>
      <c r="B28" s="20"/>
      <c r="C28" s="20"/>
      <c r="D28" s="17" t="n">
        <v>27</v>
      </c>
      <c r="E28" s="17" t="n">
        <f aca="false">$E$2</f>
        <v>10</v>
      </c>
      <c r="F28" s="17" t="n">
        <f aca="false">$F$2</f>
        <v>2022</v>
      </c>
      <c r="H28" s="39" t="n">
        <f aca="false">AM28</f>
        <v>-45.4783710403471</v>
      </c>
      <c r="I28" s="48" t="n">
        <f aca="false">H28+1.02/(TAN($G$6*(H28+10.3/(H28+5.11)))*60)</f>
        <v>-45.4949412390404</v>
      </c>
      <c r="J28" s="39" t="n">
        <f aca="false">100*(1+COS($G$6*AQ28))/2</f>
        <v>3.04478614751538</v>
      </c>
      <c r="K28" s="48" t="n">
        <f aca="false">IF(AI28&gt;180,AT28-180,AT28+180)</f>
        <v>200.927241679011</v>
      </c>
      <c r="L28" s="10" t="n">
        <f aca="false">L27+1</f>
        <v>2459879.5</v>
      </c>
      <c r="M28" s="49" t="n">
        <f aca="false">(L28-2451545)/36525</f>
        <v>0.228186173853525</v>
      </c>
      <c r="N28" s="10" t="n">
        <f aca="false">MOD(280.46061837+360.98564736629*(L28-2451545)+0.000387933*M28^2-M28^3/38710000+$G$4,360)</f>
        <v>35.3386129131541</v>
      </c>
      <c r="O28" s="24" t="n">
        <f aca="false">0.60643382+1336.85522467*M28 - 0.00000313*M28^2 - INT(0.60643382+1336.85522467*M28 - 0.00000313*M28^2)</f>
        <v>0.65831237056608</v>
      </c>
      <c r="P28" s="10" t="n">
        <f aca="false">22640*SIN(Q28)-4586*SIN(Q28-2*S28)+2370*SIN(2*S28)+769*SIN(2*Q28)-668*SIN(R28)-412*SIN(2*T28)-212*SIN(2*Q28-2*S28)-206*SIN(Q28+R28-2*S28)+192*SIN(Q28+2*S28)-165*SIN(R28-2*S28)-125*SIN(S28)-110*SIN(Q28+R28)+148*SIN(Q28-R28)-55*SIN(2*T28-2*S28)</f>
        <v>-12279.7064483685</v>
      </c>
      <c r="Q28" s="18" t="n">
        <f aca="false">2*PI()*(0.374897+1325.55241*M28 - INT(0.374897+1325.55241*M28))</f>
        <v>5.32581435268154</v>
      </c>
      <c r="R28" s="26" t="n">
        <f aca="false">2*PI()*(0.993133+99.997361*M28 - INT(0.993133+99.997361*M28))</f>
        <v>5.09659446500098</v>
      </c>
      <c r="S28" s="26" t="n">
        <f aca="false">2*PI()*(0.827361+1236.853086*M28 - INT(0.827361+1236.853086*M28))</f>
        <v>0.377835033563599</v>
      </c>
      <c r="T28" s="26" t="n">
        <f aca="false">2*PI()*(0.259086+1342.227825*M28 - INT(0.259086+1342.227825*M28))</f>
        <v>3.37355419855671</v>
      </c>
      <c r="U28" s="26" t="n">
        <f aca="false">T28+(P28+412*SIN(2*T28)+541*SIN(R28))/206264.8062</f>
        <v>3.3124826449955</v>
      </c>
      <c r="V28" s="26" t="n">
        <f aca="false">T28-2*S28</f>
        <v>2.61788413142951</v>
      </c>
      <c r="W28" s="25" t="n">
        <f aca="false">-526*SIN(V28)+44*SIN(Q28+V28)-31*SIN(-Q28+V28)-23*SIN(R28+V28)+11*SIN(-R28+V28)-25*SIN(-2*Q28+T28)+21*SIN(-Q28+T28)</f>
        <v>-234.269778184618</v>
      </c>
      <c r="X28" s="26" t="n">
        <f aca="false">2*PI()*(O28+P28/1296000-INT(O28+P28/1296000))</f>
        <v>4.07676491741357</v>
      </c>
      <c r="Y28" s="26" t="n">
        <f aca="false">(18520*SIN(U28)+W28)/206264.8062</f>
        <v>-0.0164049831957347</v>
      </c>
      <c r="Z28" s="26" t="n">
        <f aca="false">Y28*180/PI()</f>
        <v>-0.939936300098635</v>
      </c>
      <c r="AA28" s="26" t="n">
        <f aca="false">COS(Y28)*COS(X28)</f>
        <v>-0.593599929454887</v>
      </c>
      <c r="AB28" s="26" t="n">
        <f aca="false">COS(Y28)*SIN(X28)</f>
        <v>-0.804593080021893</v>
      </c>
      <c r="AC28" s="26" t="n">
        <f aca="false">SIN(Y28)</f>
        <v>-0.0164042473779589</v>
      </c>
      <c r="AD28" s="26" t="n">
        <f aca="false">COS($G$6*(23.4393-46.815*M28/3600))*AB28-SIN($G$6*(23.4393-46.815*M28/3600))*AC28</f>
        <v>-0.731691785282619</v>
      </c>
      <c r="AE28" s="26" t="n">
        <f aca="false">SIN($G$6*(23.4393-46.815*M28/3600))*AB28+COS($G$6*(23.4393-46.815*M28/3600))*AC28</f>
        <v>-0.335061569119896</v>
      </c>
      <c r="AF28" s="26" t="n">
        <f aca="false">SQRT(1-AE28*AE28)</f>
        <v>0.942196234814655</v>
      </c>
      <c r="AG28" s="10" t="n">
        <f aca="false">ATAN(AE28/AF28)/$G$6</f>
        <v>-19.5762819731176</v>
      </c>
      <c r="AH28" s="26" t="n">
        <f aca="false">IF(24*ATAN(AD28/(AA28+AF28))/PI()&gt;0,24*ATAN(AD28/(AA28+AF28))/PI(),24*ATAN(AD28/(AA28+AF28))/PI()+24)</f>
        <v>15.3965733980102</v>
      </c>
      <c r="AI28" s="10" t="n">
        <f aca="false">IF(N28-15*AH28&gt;0,N28-15*AH28,360+N28-15*AH28)</f>
        <v>164.390011943001</v>
      </c>
      <c r="AJ28" s="18" t="n">
        <f aca="false">0.950724+0.051818*COS(Q28)+0.009531*COS(2*S28-Q28)+0.007843*COS(2*S28)+0.002824*COS(2*Q28)+0.000857*COS(2*S28+Q28)+0.000533*COS(2*S28-R28)+0.000401*COS(2*S28-R28-Q28)+0.00032*COS(Q28-R28)-0.000271*COS(S28)</f>
        <v>0.984275538900744</v>
      </c>
      <c r="AK28" s="50" t="n">
        <f aca="false">ASIN(COS($G$6*$G$2)*COS($G$6*AG28)*COS($G$6*AI28)+SIN($G$6*$G$2)*SIN($G$6*AG28))/$G$6</f>
        <v>-44.7800891847077</v>
      </c>
      <c r="AL28" s="18" t="n">
        <f aca="false">ASIN((0.9983271+0.0016764*COS($G$6*2*$G$2))*COS($G$6*AK28)*SIN($G$6*AJ28))/$G$6</f>
        <v>0.698281855639434</v>
      </c>
      <c r="AM28" s="18" t="n">
        <f aca="false">AK28-AL28</f>
        <v>-45.4783710403471</v>
      </c>
      <c r="AN28" s="10" t="n">
        <f aca="false"> IF(280.4664567 + 360007.6982779*M28/10 + 0.03032028*M28^2/100 + M28^3/49931000&lt;0,MOD(280.4664567 + 360007.6982779*M28/10 + 0.03032028*M28^2/100 + M28^3/49931000+360,360),MOD(280.4664567 + 360007.6982779*M28/10 + 0.03032028*M28^2/100 + M28^3/49931000,360))</f>
        <v>215.344395272508</v>
      </c>
      <c r="AO28" s="27" t="n">
        <f aca="false"> AN28 + (1.9146 - 0.004817*M28 - 0.000014*M28^2)*SIN(R28)+ (0.019993 - 0.000101*M28)*SIN(2*R28)+ 0.00029*SIN(3*R28)</f>
        <v>213.556634754961</v>
      </c>
      <c r="AP28" s="18" t="n">
        <f aca="false">ACOS(COS(X28-$G$6*AO28)*COS(Y28))/$G$6</f>
        <v>20.0459319761713</v>
      </c>
      <c r="AQ28" s="25" t="n">
        <f aca="false">180 - AP28 -0.1468*(1-0.0549*SIN(R28))*SIN($G$6*AP28)/(1-0.0167*SIN($G$6*AO28))</f>
        <v>159.901671451481</v>
      </c>
      <c r="AR28" s="25" t="n">
        <f aca="false">SIN($G$6*AI28)</f>
        <v>0.269087719342404</v>
      </c>
      <c r="AS28" s="25" t="n">
        <f aca="false">COS($G$6*AI28)*SIN($G$6*$G$2) - TAN($G$6*AG28)*COS($G$6*$G$2)</f>
        <v>0.703667005736016</v>
      </c>
      <c r="AT28" s="25" t="n">
        <f aca="false">IF(OR(AND(AR28*AS28&gt;0), AND(AR28&lt;0,AS28&gt;0)), MOD(ATAN2(AS28,AR28)/$G$6+360,360),  ATAN2(AS28,AR28)/$G$6)</f>
        <v>20.9272416790113</v>
      </c>
      <c r="AU28" s="18" t="n">
        <f aca="false">IF((X28-X27)/$G$6&lt;0,(X28-X27)/$G$6+360,(X28-X27)/$G$6)</f>
        <v>14.0084997989329</v>
      </c>
      <c r="AV28" s="29" t="n">
        <f aca="false">(1+SIN($G$6*H28)*SIN($G$6*AJ28))*120*ASIN(0.272481*SIN($G$6*AJ28))/$G$6</f>
        <v>31.7879447007944</v>
      </c>
      <c r="AW28" s="10" t="n">
        <f aca="false">COS(X28)</f>
        <v>-0.593679814250214</v>
      </c>
      <c r="AX28" s="10" t="n">
        <f aca="false">SIN(X28)</f>
        <v>-0.804701359606054</v>
      </c>
      <c r="AY28" s="30" t="n">
        <f aca="false"> 385000.56 + (-20905355*COS(Q28) - 3699111*COS(2*S28-Q28) - 2955968*COS(2*S28) - 569925*COS(2*Q28) + (1-0.002516*M28)*48888*COS(R28) - 3149*COS(2*T28)  +246158*COS(2*S28-2*Q28) -(1-0.002516*M28)*152138*COS(2*S28-R28-Q28) -170733*COS(2*S28+Q28) -(1-0.002516*M28)*204586*COS(2*S28-R28) -(1-0.002516*M28)*129620*COS(R28-Q28)  + 108743*COS(S28) +(1-0.002516*M28)*104755*COS(R28+Q28) +10321*COS(2*S28-2*T28) +79661*COS(Q28-2*T28) -34782*COS(4*S28-Q28) -23210*COS(3*Q28)  -21636*COS(4*S28-2*Q28) +(1-0.002516*M28)*24208*COS(2*S28+R28-Q28) +(1-0.002516*M28)*30824*COS(2*S28+R28) -8379*COS(S28-Q28) -(1-0.002516*M28)*16675*COS(S28+R28)  -(1-0.002516*M28)*12831*COS(2*S28-R28+Q28) -10445*COS(2*S28+2*Q28) -11650*COS(4*S28) +14403*COS(2*S28-3*Q28) -(1-0.002516*M28)*7003*COS(R28-2*Q28)  + (1-0.002516*M28)*10056*COS(2*S28-R28-2*Q28) +6322*COS(S28+Q28) -(1-0.002516*M28)*(1-0.002516*M28)*9884*COS(2*S28-2*R28) +(1-0.002516*M28)*5751*COS(R28+2*Q28) -(1-0.002516*M28)*(1-0.002516*M28)*4950*COS(2*S28-2*R28-Q28)  +4130*COS(2*S28+Q28-2*T28) -(1-0.002516*M28)*3958*COS(4*S28-R28-Q28) +3258*COS(3*S28-Q28) +(1-0.002516*M28)*2616*COS(2*S28+R28+Q28) -(1-0.002516*M28)*1897*COS(4*S28-R28-2*Q28)  -(1-0.002516*M28)*(1-0.002516*M28)*2117*COS(2*R28-Q28) +(1-0.002516*M28)*(1-0.002516*M28)*2354*COS(2*S28+2*R28-Q28) -1423*COS(4*S28+Q28) -1117*COS(4*Q28) -(1-0.002516*M28)*1571*COS(4*S28-R28)  -1739*COS(S28-2*Q28) -4421*COS(2*Q28-2*T28) +(1-0.002516*M28)*(1-0.002516*M28)*1165*COS(2*R28+Q28) +8752*COS(2*S28-Q28-2*T28))/1000</f>
        <v>371416.660252167</v>
      </c>
      <c r="AZ28" s="17" t="n">
        <f aca="false">AZ27+1</f>
        <v>300</v>
      </c>
      <c r="BA28" s="17" t="n">
        <v>27</v>
      </c>
      <c r="BB28" s="32" t="n">
        <f aca="false">ATAN(0.99664719*TAN($G$6*input!$E$2))</f>
        <v>-0.400219206115995</v>
      </c>
      <c r="BC28" s="32" t="n">
        <f aca="false">COS(BB28)</f>
        <v>0.920975608992155</v>
      </c>
      <c r="BD28" s="32" t="n">
        <f aca="false">0.99664719*SIN(BB28)</f>
        <v>-0.388313912533463</v>
      </c>
      <c r="BE28" s="32" t="n">
        <f aca="false">6378.14/AY28</f>
        <v>0.0171724660807344</v>
      </c>
      <c r="BF28" s="33" t="n">
        <f aca="false">N28-15*AH28</f>
        <v>-195.609988056999</v>
      </c>
      <c r="BG28" s="27" t="n">
        <f aca="false">COS($G$6*AG28)*SIN($G$6*BF28)</f>
        <v>0.253533435999277</v>
      </c>
      <c r="BH28" s="27" t="n">
        <f aca="false">COS($G$6*AG28)*COS($G$6*BF28)-BC28*BE28</f>
        <v>-0.923259383061646</v>
      </c>
      <c r="BI28" s="27" t="n">
        <f aca="false">SIN($G$6*AG28)-BD28*BE28</f>
        <v>-0.328393261628238</v>
      </c>
      <c r="BJ28" s="46" t="n">
        <f aca="false">SQRT(BG28^2+BH28^2+BI28^2)</f>
        <v>1.01219031108967</v>
      </c>
      <c r="BK28" s="35" t="n">
        <f aca="false">AY28*BJ28</f>
        <v>375944.344884528</v>
      </c>
      <c r="BL28" s="51" t="str">
        <f aca="false">IF(OR(AND(BK28&gt;BK27,BK28&gt;BK29),AND(BK28&lt;BK27,BK28&lt;BK29)),BK28,"")</f>
        <v/>
      </c>
    </row>
    <row r="29" customFormat="false" ht="15" hidden="false" customHeight="false" outlineLevel="0" collapsed="false">
      <c r="A29" s="20"/>
      <c r="B29" s="20"/>
      <c r="C29" s="20"/>
      <c r="D29" s="17" t="n">
        <v>28</v>
      </c>
      <c r="E29" s="17" t="n">
        <f aca="false">$E$2</f>
        <v>10</v>
      </c>
      <c r="F29" s="17" t="n">
        <f aca="false">$F$2</f>
        <v>2022</v>
      </c>
      <c r="H29" s="39" t="n">
        <f aca="false">AM29</f>
        <v>-36.0731290909898</v>
      </c>
      <c r="I29" s="48" t="n">
        <f aca="false">H29+1.02/(TAN($G$6*(H29+10.3/(H29+5.11)))*60)</f>
        <v>-36.0961824583314</v>
      </c>
      <c r="J29" s="39" t="n">
        <f aca="false">100*(1+COS($G$6*AQ29))/2</f>
        <v>8.24183592312381</v>
      </c>
      <c r="K29" s="48" t="n">
        <f aca="false">IF(AI29&gt;180,AT29-180,AT29+180)</f>
        <v>213.247705256465</v>
      </c>
      <c r="L29" s="10" t="n">
        <f aca="false">L28+1</f>
        <v>2459880.5</v>
      </c>
      <c r="M29" s="49" t="n">
        <f aca="false">(L29-2451545)/36525</f>
        <v>0.228213552361396</v>
      </c>
      <c r="N29" s="10" t="n">
        <f aca="false">MOD(280.46061837+360.98564736629*(L29-2451545)+0.000387933*M29^2-M29^3/38710000+$G$4,360)</f>
        <v>36.3242602841929</v>
      </c>
      <c r="O29" s="24" t="n">
        <f aca="false">0.60643382+1336.85522467*M29 - 0.00000313*M29^2 - INT(0.60643382+1336.85522467*M29 - 0.00000313*M29^2)</f>
        <v>0.694913471818438</v>
      </c>
      <c r="P29" s="10" t="n">
        <f aca="false">22640*SIN(Q29)-4586*SIN(Q29-2*S29)+2370*SIN(2*S29)+769*SIN(2*Q29)-668*SIN(R29)-412*SIN(2*T29)-212*SIN(2*Q29-2*S29)-206*SIN(Q29+R29-2*S29)+192*SIN(Q29+2*S29)-165*SIN(R29-2*S29)-125*SIN(S29)-110*SIN(Q29+R29)+148*SIN(Q29-R29)-55*SIN(2*T29-2*S29)</f>
        <v>-8621.80135813255</v>
      </c>
      <c r="Q29" s="18" t="n">
        <f aca="false">2*PI()*(0.374897+1325.55241*M29 - INT(0.374897+1325.55241*M29))</f>
        <v>5.55384149645735</v>
      </c>
      <c r="R29" s="26" t="n">
        <f aca="false">2*PI()*(0.993133+99.997361*M29 - INT(0.993133+99.997361*M29))</f>
        <v>5.11379643486797</v>
      </c>
      <c r="S29" s="26" t="n">
        <f aca="false">2*PI()*(0.827361+1236.853086*M29 - INT(0.827361+1236.853086*M29))</f>
        <v>0.590603743682266</v>
      </c>
      <c r="T29" s="26" t="n">
        <f aca="false">2*PI()*(0.259086+1342.227825*M29 - INT(0.259086+1342.227825*M29))</f>
        <v>3.60444991789772</v>
      </c>
      <c r="U29" s="26" t="n">
        <f aca="false">T29+(P29+412*SIN(2*T29)+541*SIN(R29))/206264.8062</f>
        <v>3.56183193731982</v>
      </c>
      <c r="V29" s="26" t="n">
        <f aca="false">T29-2*S29</f>
        <v>2.42324243053318</v>
      </c>
      <c r="W29" s="25" t="n">
        <f aca="false">-526*SIN(V29)+44*SIN(Q29+V29)-31*SIN(-Q29+V29)-23*SIN(R29+V29)+11*SIN(-R29+V29)-25*SIN(-2*Q29+T29)+21*SIN(-Q29+T29)</f>
        <v>-324.859962072867</v>
      </c>
      <c r="X29" s="26" t="n">
        <f aca="false">2*PI()*(O29+P29/1296000-INT(O29+P29/1296000))</f>
        <v>4.32447044334845</v>
      </c>
      <c r="Y29" s="26" t="n">
        <f aca="false">(18520*SIN(U29)+W29)/206264.8062</f>
        <v>-0.0382063710576387</v>
      </c>
      <c r="Z29" s="26" t="n">
        <f aca="false">Y29*180/PI()</f>
        <v>-2.18906381211348</v>
      </c>
      <c r="AA29" s="26" t="n">
        <f aca="false">COS(Y29)*COS(X29)</f>
        <v>-0.377986382661056</v>
      </c>
      <c r="AB29" s="26" t="n">
        <f aca="false">COS(Y29)*SIN(X29)</f>
        <v>-0.925022852616423</v>
      </c>
      <c r="AC29" s="26" t="n">
        <f aca="false">SIN(Y29)</f>
        <v>-0.0381970765921406</v>
      </c>
      <c r="AD29" s="26" t="n">
        <f aca="false">COS($G$6*(23.4393-46.815*M29/3600))*AB29-SIN($G$6*(23.4393-46.815*M29/3600))*AC29</f>
        <v>-0.833518760089683</v>
      </c>
      <c r="AE29" s="26" t="n">
        <f aca="false">SIN($G$6*(23.4393-46.815*M29/3600))*AB29+COS($G$6*(23.4393-46.815*M29/3600))*AC29</f>
        <v>-0.402955048487257</v>
      </c>
      <c r="AF29" s="26" t="n">
        <f aca="false">SQRT(1-AE29*AE29)</f>
        <v>0.915219770819355</v>
      </c>
      <c r="AG29" s="10" t="n">
        <f aca="false">ATAN(AE29/AF29)/$G$6</f>
        <v>-23.7630432845527</v>
      </c>
      <c r="AH29" s="26" t="n">
        <f aca="false">IF(24*ATAN(AD29/(AA29+AF29))/PI()&gt;0,24*ATAN(AD29/(AA29+AF29))/PI(),24*ATAN(AD29/(AA29+AF29))/PI()+24)</f>
        <v>16.3737685074083</v>
      </c>
      <c r="AI29" s="10" t="n">
        <f aca="false">IF(N29-15*AH29&gt;0,N29-15*AH29,360+N29-15*AH29)</f>
        <v>150.717732673069</v>
      </c>
      <c r="AJ29" s="18" t="n">
        <f aca="false">0.950724+0.051818*COS(Q29)+0.009531*COS(2*S29-Q29)+0.007843*COS(2*S29)+0.002824*COS(2*Q29)+0.000857*COS(2*S29+Q29)+0.000533*COS(2*S29-R29)+0.000401*COS(2*S29-R29-Q29)+0.00032*COS(Q29-R29)-0.000271*COS(S29)</f>
        <v>0.98953901483001</v>
      </c>
      <c r="AK29" s="50" t="n">
        <f aca="false">ASIN(COS($G$6*$G$2)*COS($G$6*AG29)*COS($G$6*AI29)+SIN($G$6*$G$2)*SIN($G$6*AG29))/$G$6</f>
        <v>-35.2656101872467</v>
      </c>
      <c r="AL29" s="18" t="n">
        <f aca="false">ASIN((0.9983271+0.0016764*COS($G$6*2*$G$2))*COS($G$6*AK29)*SIN($G$6*AJ29))/$G$6</f>
        <v>0.807518903743044</v>
      </c>
      <c r="AM29" s="18" t="n">
        <f aca="false">AK29-AL29</f>
        <v>-36.0731290909898</v>
      </c>
      <c r="AN29" s="10" t="n">
        <f aca="false"> IF(280.4664567 + 360007.6982779*M29/10 + 0.03032028*M29^2/100 + M29^3/49931000&lt;0,MOD(280.4664567 + 360007.6982779*M29/10 + 0.03032028*M29^2/100 + M29^3/49931000+360,360),MOD(280.4664567 + 360007.6982779*M29/10 + 0.03032028*M29^2/100 + M29^3/49931000,360))</f>
        <v>216.330042636402</v>
      </c>
      <c r="AO29" s="27" t="n">
        <f aca="false"> AN29 + (1.9146 - 0.004817*M29 - 0.000014*M29^2)*SIN(R29)+ (0.019993 - 0.000101*M29)*SIN(2*R29)+ 0.00029*SIN(3*R29)</f>
        <v>214.554382236719</v>
      </c>
      <c r="AP29" s="18" t="n">
        <f aca="false">ACOS(COS(X29-$G$6*AO29)*COS(Y29))/$G$6</f>
        <v>33.2833180517869</v>
      </c>
      <c r="AQ29" s="25" t="n">
        <f aca="false">180 - AP29 -0.1468*(1-0.0549*SIN(R29))*SIN($G$6*AP29)/(1-0.0167*SIN($G$6*AO29))</f>
        <v>146.632844011713</v>
      </c>
      <c r="AR29" s="25" t="n">
        <f aca="false">SIN($G$6*AI29)</f>
        <v>0.489112528517371</v>
      </c>
      <c r="AS29" s="25" t="n">
        <f aca="false">COS($G$6*AI29)*SIN($G$6*$G$2) - TAN($G$6*AG29)*COS($G$6*$G$2)</f>
        <v>0.746085751754446</v>
      </c>
      <c r="AT29" s="25" t="n">
        <f aca="false">IF(OR(AND(AR29*AS29&gt;0), AND(AR29&lt;0,AS29&gt;0)), MOD(ATAN2(AS29,AR29)/$G$6+360,360),  ATAN2(AS29,AR29)/$G$6)</f>
        <v>33.2477052564652</v>
      </c>
      <c r="AU29" s="18" t="n">
        <f aca="false">IF((X29-X28)/$G$6&lt;0,(X29-X28)/$G$6+360,(X29-X28)/$G$6)</f>
        <v>14.1924811981368</v>
      </c>
      <c r="AV29" s="29" t="n">
        <f aca="false">(1+SIN($G$6*H29)*SIN($G$6*AJ29))*120*ASIN(0.272481*SIN($G$6*AJ29))/$G$6</f>
        <v>32.025177686453</v>
      </c>
      <c r="AW29" s="10" t="n">
        <f aca="false">COS(X29)</f>
        <v>-0.378262428979756</v>
      </c>
      <c r="AX29" s="10" t="n">
        <f aca="false">SIN(X29)</f>
        <v>-0.925698403813216</v>
      </c>
      <c r="AY29" s="30" t="n">
        <f aca="false"> 385000.56 + (-20905355*COS(Q29) - 3699111*COS(2*S29-Q29) - 2955968*COS(2*S29) - 569925*COS(2*Q29) + (1-0.002516*M29)*48888*COS(R29) - 3149*COS(2*T29)  +246158*COS(2*S29-2*Q29) -(1-0.002516*M29)*152138*COS(2*S29-R29-Q29) -170733*COS(2*S29+Q29) -(1-0.002516*M29)*204586*COS(2*S29-R29) -(1-0.002516*M29)*129620*COS(R29-Q29)  + 108743*COS(S29) +(1-0.002516*M29)*104755*COS(R29+Q29) +10321*COS(2*S29-2*T29) +79661*COS(Q29-2*T29) -34782*COS(4*S29-Q29) -23210*COS(3*Q29)  -21636*COS(4*S29-2*Q29) +(1-0.002516*M29)*24208*COS(2*S29+R29-Q29) +(1-0.002516*M29)*30824*COS(2*S29+R29) -8379*COS(S29-Q29) -(1-0.002516*M29)*16675*COS(S29+R29)  -(1-0.002516*M29)*12831*COS(2*S29-R29+Q29) -10445*COS(2*S29+2*Q29) -11650*COS(4*S29) +14403*COS(2*S29-3*Q29) -(1-0.002516*M29)*7003*COS(R29-2*Q29)  + (1-0.002516*M29)*10056*COS(2*S29-R29-2*Q29) +6322*COS(S29+Q29) -(1-0.002516*M29)*(1-0.002516*M29)*9884*COS(2*S29-2*R29) +(1-0.002516*M29)*5751*COS(R29+2*Q29) -(1-0.002516*M29)*(1-0.002516*M29)*4950*COS(2*S29-2*R29-Q29)  +4130*COS(2*S29+Q29-2*T29) -(1-0.002516*M29)*3958*COS(4*S29-R29-Q29) +3258*COS(3*S29-Q29) +(1-0.002516*M29)*2616*COS(2*S29+R29+Q29) -(1-0.002516*M29)*1897*COS(4*S29-R29-2*Q29)  -(1-0.002516*M29)*(1-0.002516*M29)*2117*COS(2*R29-Q29) +(1-0.002516*M29)*(1-0.002516*M29)*2354*COS(2*S29+2*R29-Q29) -1423*COS(4*S29+Q29) -1117*COS(4*Q29) -(1-0.002516*M29)*1571*COS(4*S29-R29)  -1739*COS(S29-2*Q29) -4421*COS(2*Q29-2*T29) +(1-0.002516*M29)*(1-0.002516*M29)*1165*COS(2*R29+Q29) +8752*COS(2*S29-Q29-2*T29))/1000</f>
        <v>369442.856973468</v>
      </c>
      <c r="AZ29" s="17" t="n">
        <f aca="false">AZ28+1</f>
        <v>301</v>
      </c>
      <c r="BA29" s="17" t="n">
        <v>28</v>
      </c>
      <c r="BB29" s="32" t="n">
        <f aca="false">ATAN(0.99664719*TAN($G$6*input!$E$2))</f>
        <v>-0.400219206115995</v>
      </c>
      <c r="BC29" s="32" t="n">
        <f aca="false">COS(BB29)</f>
        <v>0.920975608992155</v>
      </c>
      <c r="BD29" s="32" t="n">
        <f aca="false">0.99664719*SIN(BB29)</f>
        <v>-0.388313912533463</v>
      </c>
      <c r="BE29" s="32" t="n">
        <f aca="false">6378.14/AY29</f>
        <v>0.0172642125286998</v>
      </c>
      <c r="BF29" s="33" t="n">
        <f aca="false">N29-15*AH29</f>
        <v>-209.282267326931</v>
      </c>
      <c r="BG29" s="27" t="n">
        <f aca="false">COS($G$6*AG29)*SIN($G$6*BF29)</f>
        <v>0.447645456254544</v>
      </c>
      <c r="BH29" s="27" t="n">
        <f aca="false">COS($G$6*AG29)*COS($G$6*BF29)-BC29*BE29</f>
        <v>-0.814173539903468</v>
      </c>
      <c r="BI29" s="27" t="n">
        <f aca="false">SIN($G$6*AG29)-BD29*BE29</f>
        <v>-0.396251114573428</v>
      </c>
      <c r="BJ29" s="46" t="n">
        <f aca="false">SQRT(BG29^2+BH29^2+BI29^2)</f>
        <v>1.01008908190563</v>
      </c>
      <c r="BK29" s="35" t="n">
        <f aca="false">AY29*BJ29</f>
        <v>373170.196216924</v>
      </c>
      <c r="BL29" s="51" t="str">
        <f aca="false">IF(OR(AND(BK29&gt;BK28,BK29&gt;BK30),AND(BK29&lt;BK28,BK29&lt;BK30)),BK29,"")</f>
        <v/>
      </c>
    </row>
    <row r="30" customFormat="false" ht="15" hidden="false" customHeight="false" outlineLevel="0" collapsed="false">
      <c r="A30" s="20"/>
      <c r="B30" s="20"/>
      <c r="C30" s="20"/>
      <c r="D30" s="17" t="n">
        <f aca="false">AZ30-INT(275*E30/9)+IF($G$9="leap year",1,2)*INT((E30+9)/12)+30</f>
        <v>29</v>
      </c>
      <c r="E30" s="17" t="n">
        <f aca="false">IF(AZ30&lt;32,1,INT(9*IF($G$9="leap year",1+AZ30,2+AZ30)/275+0.98))</f>
        <v>10</v>
      </c>
      <c r="F30" s="17" t="n">
        <f aca="false">$F$2</f>
        <v>2022</v>
      </c>
      <c r="H30" s="39" t="n">
        <f aca="false">AM30</f>
        <v>-25.7208006789141</v>
      </c>
      <c r="I30" s="48" t="n">
        <f aca="false">H30+1.02/(TAN($G$6*(H30+10.3/(H30+5.11)))*60)</f>
        <v>-25.7553180009387</v>
      </c>
      <c r="J30" s="39" t="n">
        <f aca="false">100*(1+COS($G$6*AQ30))/2</f>
        <v>15.7235003278359</v>
      </c>
      <c r="K30" s="48" t="n">
        <f aca="false">IF(AI30&gt;180,AT30-180,AT30+180)</f>
        <v>223.074368183853</v>
      </c>
      <c r="L30" s="10" t="n">
        <f aca="false">L29+1</f>
        <v>2459881.5</v>
      </c>
      <c r="M30" s="49" t="n">
        <f aca="false">(L30-2451545)/36525</f>
        <v>0.228240930869268</v>
      </c>
      <c r="N30" s="10" t="n">
        <f aca="false">MOD(280.46061837+360.98564736629*(L30-2451545)+0.000387933*M30^2-M30^3/38710000+$G$4,360)</f>
        <v>37.309907654766</v>
      </c>
      <c r="O30" s="24" t="n">
        <f aca="false">0.60643382+1336.85522467*M30 - 0.00000313*M30^2 - INT(0.60643382+1336.85522467*M30 - 0.00000313*M30^2)</f>
        <v>0.731514573070797</v>
      </c>
      <c r="P30" s="10" t="n">
        <f aca="false">22640*SIN(Q30)-4586*SIN(Q30-2*S30)+2370*SIN(2*S30)+769*SIN(2*Q30)-668*SIN(R30)-412*SIN(2*T30)-212*SIN(2*Q30-2*S30)-206*SIN(Q30+R30-2*S30)+192*SIN(Q30+2*S30)-165*SIN(R30-2*S30)-125*SIN(S30)-110*SIN(Q30+R30)+148*SIN(Q30-R30)-55*SIN(2*T30-2*S30)</f>
        <v>-4577.27432882885</v>
      </c>
      <c r="Q30" s="18" t="n">
        <f aca="false">2*PI()*(0.374897+1325.55241*M30 - INT(0.374897+1325.55241*M30))</f>
        <v>5.78186864023281</v>
      </c>
      <c r="R30" s="26" t="n">
        <f aca="false">2*PI()*(0.993133+99.997361*M30 - INT(0.993133+99.997361*M30))</f>
        <v>5.13099840473497</v>
      </c>
      <c r="S30" s="26" t="n">
        <f aca="false">2*PI()*(0.827361+1236.853086*M30 - INT(0.827361+1236.853086*M30))</f>
        <v>0.803372453801291</v>
      </c>
      <c r="T30" s="26" t="n">
        <f aca="false">2*PI()*(0.259086+1342.227825*M30 - INT(0.259086+1342.227825*M30))</f>
        <v>3.83534563723872</v>
      </c>
      <c r="U30" s="26" t="n">
        <f aca="false">T30+(P30+412*SIN(2*T30)+541*SIN(R30))/206264.8062</f>
        <v>3.81272198610576</v>
      </c>
      <c r="V30" s="26" t="n">
        <f aca="false">T30-2*S30</f>
        <v>2.22860072963614</v>
      </c>
      <c r="W30" s="25" t="n">
        <f aca="false">-526*SIN(V30)+44*SIN(Q30+V30)-31*SIN(-Q30+V30)-23*SIN(R30+V30)+11*SIN(-R30+V30)-25*SIN(-2*Q30+T30)+21*SIN(-Q30+T30)</f>
        <v>-402.769254467951</v>
      </c>
      <c r="X30" s="26" t="n">
        <f aca="false">2*PI()*(O30+P30/1296000-INT(O30+P30/1296000))</f>
        <v>4.5740503653381</v>
      </c>
      <c r="Y30" s="26" t="n">
        <f aca="false">(18520*SIN(U30)+W30)/206264.8062</f>
        <v>-0.0577888997809122</v>
      </c>
      <c r="Z30" s="26" t="n">
        <f aca="false">Y30*180/PI()</f>
        <v>-3.31106006015076</v>
      </c>
      <c r="AA30" s="26" t="n">
        <f aca="false">COS(Y30)*COS(X30)</f>
        <v>-0.137667598168531</v>
      </c>
      <c r="AB30" s="26" t="n">
        <f aca="false">COS(Y30)*SIN(X30)</f>
        <v>-0.988793098362106</v>
      </c>
      <c r="AC30" s="26" t="n">
        <f aca="false">SIN(Y30)</f>
        <v>-0.0577567402644427</v>
      </c>
      <c r="AD30" s="26" t="n">
        <f aca="false">COS($G$6*(23.4393-46.815*M30/3600))*AB30-SIN($G$6*(23.4393-46.815*M30/3600))*AC30</f>
        <v>-0.884248668668605</v>
      </c>
      <c r="AE30" s="26" t="n">
        <f aca="false">SIN($G$6*(23.4393-46.815*M30/3600))*AB30+COS($G$6*(23.4393-46.815*M30/3600))*AC30</f>
        <v>-0.446264410828724</v>
      </c>
      <c r="AF30" s="26" t="n">
        <f aca="false">SQRT(1-AE30*AE30)</f>
        <v>0.894901154110157</v>
      </c>
      <c r="AG30" s="10" t="n">
        <f aca="false">ATAN(AE30/AF30)/$G$6</f>
        <v>-26.504263819981</v>
      </c>
      <c r="AH30" s="26" t="n">
        <f aca="false">IF(24*ATAN(AD30/(AA30+AF30))/PI()&gt;0,24*ATAN(AD30/(AA30+AF30))/PI(),24*ATAN(AD30/(AA30+AF30))/PI()+24)</f>
        <v>17.410048841584</v>
      </c>
      <c r="AI30" s="10" t="n">
        <f aca="false">IF(N30-15*AH30&gt;0,N30-15*AH30,360+N30-15*AH30)</f>
        <v>136.159175031006</v>
      </c>
      <c r="AJ30" s="18" t="n">
        <f aca="false">0.950724+0.051818*COS(Q30)+0.009531*COS(2*S30-Q30)+0.007843*COS(2*S30)+0.002824*COS(2*Q30)+0.000857*COS(2*S30+Q30)+0.000533*COS(2*S30-R30)+0.000401*COS(2*S30-R30-Q30)+0.00032*COS(Q30-R30)-0.000271*COS(S30)</f>
        <v>0.992084011821683</v>
      </c>
      <c r="AK30" s="50" t="n">
        <f aca="false">ASIN(COS($G$6*$G$2)*COS($G$6*AG30)*COS($G$6*AI30)+SIN($G$6*$G$2)*SIN($G$6*AG30))/$G$6</f>
        <v>-24.820826197728</v>
      </c>
      <c r="AL30" s="18" t="n">
        <f aca="false">ASIN((0.9983271+0.0016764*COS($G$6*2*$G$2))*COS($G$6*AK30)*SIN($G$6*AJ30))/$G$6</f>
        <v>0.899974481186098</v>
      </c>
      <c r="AM30" s="18" t="n">
        <f aca="false">AK30-AL30</f>
        <v>-25.7208006789141</v>
      </c>
      <c r="AN30" s="10" t="n">
        <f aca="false"> IF(280.4664567 + 360007.6982779*M30/10 + 0.03032028*M30^2/100 + M30^3/49931000&lt;0,MOD(280.4664567 + 360007.6982779*M30/10 + 0.03032028*M30^2/100 + M30^3/49931000+360,360),MOD(280.4664567 + 360007.6982779*M30/10 + 0.03032028*M30^2/100 + M30^3/49931000,360))</f>
        <v>217.315690000296</v>
      </c>
      <c r="AO30" s="27" t="n">
        <f aca="false"> AN30 + (1.9146 - 0.004817*M30 - 0.000014*M30^2)*SIN(R30)+ (0.019993 - 0.000101*M30)*SIN(2*R30)+ 0.00029*SIN(3*R30)</f>
        <v>215.552667639869</v>
      </c>
      <c r="AP30" s="18" t="n">
        <f aca="false">ACOS(COS(X30-$G$6*AO30)*COS(Y30))/$G$6</f>
        <v>46.6117420540632</v>
      </c>
      <c r="AQ30" s="25" t="n">
        <f aca="false">180 - AP30 -0.1468*(1-0.0549*SIN(R30))*SIN($G$6*AP30)/(1-0.0167*SIN($G$6*AO30))</f>
        <v>133.277302395048</v>
      </c>
      <c r="AR30" s="25" t="n">
        <f aca="false">SIN($G$6*AI30)</f>
        <v>0.692657274032888</v>
      </c>
      <c r="AS30" s="25" t="n">
        <f aca="false">COS($G$6*AI30)*SIN($G$6*$G$2) - TAN($G$6*AG30)*COS($G$6*$G$2)</f>
        <v>0.740853742380325</v>
      </c>
      <c r="AT30" s="25" t="n">
        <f aca="false">IF(OR(AND(AR30*AS30&gt;0), AND(AR30&lt;0,AS30&gt;0)), MOD(ATAN2(AS30,AR30)/$G$6+360,360),  ATAN2(AS30,AR30)/$G$6)</f>
        <v>43.074368183853</v>
      </c>
      <c r="AU30" s="18" t="n">
        <f aca="false">IF((X30-X29)/$G$6&lt;0,(X30-X29)/$G$6+360,(X30-X29)/$G$6)</f>
        <v>14.2998761812113</v>
      </c>
      <c r="AV30" s="29" t="n">
        <f aca="false">(1+SIN($G$6*H30)*SIN($G$6*AJ30))*120*ASIN(0.272481*SIN($G$6*AJ30))/$G$6</f>
        <v>32.1936451892885</v>
      </c>
      <c r="AW30" s="10" t="n">
        <f aca="false">COS(X30)</f>
        <v>-0.13789779286091</v>
      </c>
      <c r="AX30" s="10" t="n">
        <f aca="false">SIN(X30)</f>
        <v>-0.990446464340244</v>
      </c>
      <c r="AY30" s="30" t="n">
        <f aca="false"> 385000.56 + (-20905355*COS(Q30) - 3699111*COS(2*S30-Q30) - 2955968*COS(2*S30) - 569925*COS(2*Q30) + (1-0.002516*M30)*48888*COS(R30) - 3149*COS(2*T30)  +246158*COS(2*S30-2*Q30) -(1-0.002516*M30)*152138*COS(2*S30-R30-Q30) -170733*COS(2*S30+Q30) -(1-0.002516*M30)*204586*COS(2*S30-R30) -(1-0.002516*M30)*129620*COS(R30-Q30)  + 108743*COS(S30) +(1-0.002516*M30)*104755*COS(R30+Q30) +10321*COS(2*S30-2*T30) +79661*COS(Q30-2*T30) -34782*COS(4*S30-Q30) -23210*COS(3*Q30)  -21636*COS(4*S30-2*Q30) +(1-0.002516*M30)*24208*COS(2*S30+R30-Q30) +(1-0.002516*M30)*30824*COS(2*S30+R30) -8379*COS(S30-Q30) -(1-0.002516*M30)*16675*COS(S30+R30)  -(1-0.002516*M30)*12831*COS(2*S30-R30+Q30) -10445*COS(2*S30+2*Q30) -11650*COS(4*S30) +14403*COS(2*S30-3*Q30) -(1-0.002516*M30)*7003*COS(R30-2*Q30)  + (1-0.002516*M30)*10056*COS(2*S30-R30-2*Q30) +6322*COS(S30+Q30) -(1-0.002516*M30)*(1-0.002516*M30)*9884*COS(2*S30-2*R30) +(1-0.002516*M30)*5751*COS(R30+2*Q30) -(1-0.002516*M30)*(1-0.002516*M30)*4950*COS(2*S30-2*R30-Q30)  +4130*COS(2*S30+Q30-2*T30) -(1-0.002516*M30)*3958*COS(4*S30-R30-Q30) +3258*COS(3*S30-Q30) +(1-0.002516*M30)*2616*COS(2*S30+R30+Q30) -(1-0.002516*M30)*1897*COS(4*S30-R30-2*Q30)  -(1-0.002516*M30)*(1-0.002516*M30)*2117*COS(2*R30-Q30) +(1-0.002516*M30)*(1-0.002516*M30)*2354*COS(2*S30+2*R30-Q30) -1423*COS(4*S30+Q30) -1117*COS(4*Q30) -(1-0.002516*M30)*1571*COS(4*S30-R30)  -1739*COS(S30-2*Q30) -4421*COS(2*Q30-2*T30) +(1-0.002516*M30)*(1-0.002516*M30)*1165*COS(2*R30+Q30) +8752*COS(2*S30-Q30-2*T30))/1000</f>
        <v>368451.171696808</v>
      </c>
      <c r="AZ30" s="17" t="n">
        <f aca="false">AZ29+1</f>
        <v>302</v>
      </c>
      <c r="BA30" s="17" t="n">
        <v>29</v>
      </c>
      <c r="BB30" s="32" t="n">
        <f aca="false">ATAN(0.99664719*TAN($G$6*input!$E$2))</f>
        <v>-0.400219206115995</v>
      </c>
      <c r="BC30" s="32" t="n">
        <f aca="false">COS(BB30)</f>
        <v>0.920975608992155</v>
      </c>
      <c r="BD30" s="32" t="n">
        <f aca="false">0.99664719*SIN(BB30)</f>
        <v>-0.388313912533463</v>
      </c>
      <c r="BE30" s="32" t="n">
        <f aca="false">6378.14/AY30</f>
        <v>0.0173106791074299</v>
      </c>
      <c r="BF30" s="33" t="n">
        <f aca="false">N30-15*AH30</f>
        <v>-223.840824968994</v>
      </c>
      <c r="BG30" s="27" t="n">
        <f aca="false">COS($G$6*AG30)*SIN($G$6*BF30)</f>
        <v>0.619859793934828</v>
      </c>
      <c r="BH30" s="27" t="n">
        <f aca="false">COS($G$6*AG30)*COS($G$6*BF30)-BC30*BE30</f>
        <v>-0.661405269459778</v>
      </c>
      <c r="BI30" s="27" t="n">
        <f aca="false">SIN($G$6*AG30)-BD30*BE30</f>
        <v>-0.439542433295907</v>
      </c>
      <c r="BJ30" s="46" t="n">
        <f aca="false">SQRT(BG30^2+BH30^2+BI30^2)</f>
        <v>1.00741284748299</v>
      </c>
      <c r="BK30" s="35" t="n">
        <f aca="false">AY30*BJ30</f>
        <v>371182.444037524</v>
      </c>
      <c r="BL30" s="51" t="str">
        <f aca="false">IF(OR(AND(BK30&gt;BK29,BK30&gt;BK31),AND(BK30&lt;BK29,BK30&lt;BK31)),BK30,"")</f>
        <v/>
      </c>
    </row>
    <row r="31" customFormat="false" ht="15" hidden="false" customHeight="false" outlineLevel="0" collapsed="false">
      <c r="A31" s="20"/>
      <c r="B31" s="20"/>
      <c r="C31" s="20"/>
      <c r="D31" s="17" t="n">
        <f aca="false">AZ31-INT(275*E31/9)+IF($G$9="leap year",1,2)*INT((E31+9)/12)+30</f>
        <v>30</v>
      </c>
      <c r="E31" s="17" t="n">
        <f aca="false">IF(AZ31&lt;32,1,INT(9*IF($G$9="leap year",1+AZ31,2+AZ31)/275+0.98))</f>
        <v>10</v>
      </c>
      <c r="F31" s="17" t="n">
        <f aca="false">$F$2</f>
        <v>2022</v>
      </c>
      <c r="H31" s="39" t="n">
        <f aca="false">AM31</f>
        <v>-14.9162653425782</v>
      </c>
      <c r="I31" s="48" t="n">
        <f aca="false">H31+1.02/(TAN($G$6*(H31+10.3/(H31+5.11)))*60)</f>
        <v>-14.9756820337465</v>
      </c>
      <c r="J31" s="39" t="n">
        <f aca="false">100*(1+COS($G$6*AQ31))/2</f>
        <v>25.0586649330188</v>
      </c>
      <c r="K31" s="48" t="n">
        <f aca="false">IF(AI31&gt;180,AT31-180,AT31+180)</f>
        <v>231.506237660678</v>
      </c>
      <c r="L31" s="10" t="n">
        <f aca="false">L30+1</f>
        <v>2459882.5</v>
      </c>
      <c r="M31" s="49" t="n">
        <f aca="false">(L31-2451545)/36525</f>
        <v>0.228268309377139</v>
      </c>
      <c r="N31" s="10" t="n">
        <f aca="false">MOD(280.46061837+360.98564736629*(L31-2451545)+0.000387933*M31^2-M31^3/38710000+$G$4,360)</f>
        <v>38.2955550262705</v>
      </c>
      <c r="O31" s="24" t="n">
        <f aca="false">0.60643382+1336.85522467*M31 - 0.00000313*M31^2 - INT(0.60643382+1336.85522467*M31 - 0.00000313*M31^2)</f>
        <v>0.768115674323099</v>
      </c>
      <c r="P31" s="10" t="n">
        <f aca="false">22640*SIN(Q31)-4586*SIN(Q31-2*S31)+2370*SIN(2*S31)+769*SIN(2*Q31)-668*SIN(R31)-412*SIN(2*T31)-212*SIN(2*Q31-2*S31)-206*SIN(Q31+R31-2*S31)+192*SIN(Q31+2*S31)-165*SIN(R31-2*S31)-125*SIN(S31)-110*SIN(Q31+R31)+148*SIN(Q31-R31)-55*SIN(2*T31-2*S31)</f>
        <v>-414.579812570743</v>
      </c>
      <c r="Q31" s="18" t="n">
        <f aca="false">2*PI()*(0.374897+1325.55241*M31 - INT(0.374897+1325.55241*M31))</f>
        <v>6.00989578400863</v>
      </c>
      <c r="R31" s="26" t="n">
        <f aca="false">2*PI()*(0.993133+99.997361*M31 - INT(0.993133+99.997361*M31))</f>
        <v>5.14820037460194</v>
      </c>
      <c r="S31" s="26" t="n">
        <f aca="false">2*PI()*(0.827361+1236.853086*M31 - INT(0.827361+1236.853086*M31))</f>
        <v>1.01614116391996</v>
      </c>
      <c r="T31" s="26" t="n">
        <f aca="false">2*PI()*(0.259086+1342.227825*M31 - INT(0.259086+1342.227825*M31))</f>
        <v>4.06624135657937</v>
      </c>
      <c r="U31" s="26" t="n">
        <f aca="false">T31+(P31+412*SIN(2*T31)+541*SIN(R31))/206264.8062</f>
        <v>4.06377420617882</v>
      </c>
      <c r="V31" s="26" t="n">
        <f aca="false">T31-2*S31</f>
        <v>2.03395902873945</v>
      </c>
      <c r="W31" s="25" t="n">
        <f aca="false">-526*SIN(V31)+44*SIN(Q31+V31)-31*SIN(-Q31+V31)-23*SIN(R31+V31)+11*SIN(-R31+V31)-25*SIN(-2*Q31+T31)+21*SIN(-Q31+T31)</f>
        <v>-463.323594542436</v>
      </c>
      <c r="X31" s="26" t="n">
        <f aca="false">2*PI()*(O31+P31/1296000-INT(O31+P31/1296000))</f>
        <v>4.82420317947077</v>
      </c>
      <c r="Y31" s="26" t="n">
        <f aca="false">(18520*SIN(U31)+W31)/206264.8062</f>
        <v>-0.0737998273042544</v>
      </c>
      <c r="Z31" s="26" t="n">
        <f aca="false">Y31*180/PI()</f>
        <v>-4.22841863332811</v>
      </c>
      <c r="AA31" s="26" t="n">
        <f aca="false">COS(Y31)*COS(X31)</f>
        <v>0.111277632170575</v>
      </c>
      <c r="AB31" s="26" t="n">
        <f aca="false">COS(Y31)*SIN(X31)</f>
        <v>-0.991050329045447</v>
      </c>
      <c r="AC31" s="26" t="n">
        <f aca="false">SIN(Y31)</f>
        <v>-0.0737328548031437</v>
      </c>
      <c r="AD31" s="26" t="n">
        <f aca="false">COS($G$6*(23.4393-46.815*M31/3600))*AB31-SIN($G$6*(23.4393-46.815*M31/3600))*AC31</f>
        <v>-0.879965510216402</v>
      </c>
      <c r="AE31" s="26" t="n">
        <f aca="false">SIN($G$6*(23.4393-46.815*M31/3600))*AB31+COS($G$6*(23.4393-46.815*M31/3600))*AC31</f>
        <v>-0.461820299909063</v>
      </c>
      <c r="AF31" s="26" t="n">
        <f aca="false">SQRT(1-AE31*AE31)</f>
        <v>0.886973511775804</v>
      </c>
      <c r="AG31" s="10" t="n">
        <f aca="false">ATAN(AE31/AF31)/$G$6</f>
        <v>-27.5046306427435</v>
      </c>
      <c r="AH31" s="26" t="n">
        <f aca="false">IF(24*ATAN(AD31/(AA31+AF31))/PI()&gt;0,24*ATAN(AD31/(AA31+AF31))/PI(),24*ATAN(AD31/(AA31+AF31))/PI()+24)</f>
        <v>18.4804791025545</v>
      </c>
      <c r="AI31" s="10" t="n">
        <f aca="false">IF(N31-15*AH31&gt;0,N31-15*AH31,360+N31-15*AH31)</f>
        <v>121.088368487954</v>
      </c>
      <c r="AJ31" s="18" t="n">
        <f aca="false">0.950724+0.051818*COS(Q31)+0.009531*COS(2*S31-Q31)+0.007843*COS(2*S31)+0.002824*COS(2*Q31)+0.000857*COS(2*S31+Q31)+0.000533*COS(2*S31-R31)+0.000401*COS(2*S31-R31-Q31)+0.00032*COS(Q31-R31)-0.000271*COS(S31)</f>
        <v>0.992138681031342</v>
      </c>
      <c r="AK31" s="50" t="n">
        <f aca="false">ASIN(COS($G$6*$G$2)*COS($G$6*AG31)*COS($G$6*AI31)+SIN($G$6*$G$2)*SIN($G$6*AG31))/$G$6</f>
        <v>-13.9538969369882</v>
      </c>
      <c r="AL31" s="18" t="n">
        <f aca="false">ASIN((0.9983271+0.0016764*COS($G$6*2*$G$2))*COS($G$6*AK31)*SIN($G$6*AJ31))/$G$6</f>
        <v>0.962368405589958</v>
      </c>
      <c r="AM31" s="18" t="n">
        <f aca="false">AK31-AL31</f>
        <v>-14.9162653425782</v>
      </c>
      <c r="AN31" s="10" t="n">
        <f aca="false"> IF(280.4664567 + 360007.6982779*M31/10 + 0.03032028*M31^2/100 + M31^3/49931000&lt;0,MOD(280.4664567 + 360007.6982779*M31/10 + 0.03032028*M31^2/100 + M31^3/49931000+360,360),MOD(280.4664567 + 360007.6982779*M31/10 + 0.03032028*M31^2/100 + M31^3/49931000,360))</f>
        <v>218.301337364186</v>
      </c>
      <c r="AO31" s="27" t="n">
        <f aca="false"> AN31 + (1.9146 - 0.004817*M31 - 0.000014*M31^2)*SIN(R31)+ (0.019993 - 0.000101*M31)*SIN(2*R31)+ 0.00029*SIN(3*R31)</f>
        <v>216.551487674117</v>
      </c>
      <c r="AP31" s="18" t="n">
        <f aca="false">ACOS(COS(X31-$G$6*AO31)*COS(Y31))/$G$6</f>
        <v>59.9455216620103</v>
      </c>
      <c r="AQ31" s="25" t="n">
        <f aca="false">180 - AP31 -0.1468*(1-0.0549*SIN(R31))*SIN($G$6*AP31)/(1-0.0167*SIN($G$6*AO31))</f>
        <v>119.922405497071</v>
      </c>
      <c r="AR31" s="25" t="n">
        <f aca="false">SIN($G$6*AI31)</f>
        <v>0.856371927447368</v>
      </c>
      <c r="AS31" s="25" t="n">
        <f aca="false">COS($G$6*AI31)*SIN($G$6*$G$2) - TAN($G$6*AG31)*COS($G$6*$G$2)</f>
        <v>0.681036781919954</v>
      </c>
      <c r="AT31" s="25" t="n">
        <f aca="false">IF(OR(AND(AR31*AS31&gt;0), AND(AR31&lt;0,AS31&gt;0)), MOD(ATAN2(AS31,AR31)/$G$6+360,360),  ATAN2(AS31,AR31)/$G$6)</f>
        <v>51.5062376606783</v>
      </c>
      <c r="AU31" s="18" t="n">
        <f aca="false">IF((X31-X30)/$G$6&lt;0,(X31-X30)/$G$6+360,(X31-X30)/$G$6)</f>
        <v>14.3327004831226</v>
      </c>
      <c r="AV31" s="29" t="n">
        <f aca="false">(1+SIN($G$6*H31)*SIN($G$6*AJ31))*120*ASIN(0.272481*SIN($G$6*AJ31))/$G$6</f>
        <v>32.2945885865161</v>
      </c>
      <c r="AW31" s="10" t="n">
        <f aca="false">COS(X31)</f>
        <v>0.111581353434907</v>
      </c>
      <c r="AX31" s="10" t="n">
        <f aca="false">SIN(X31)</f>
        <v>-0.993755302660386</v>
      </c>
      <c r="AY31" s="30" t="n">
        <f aca="false"> 385000.56 + (-20905355*COS(Q31) - 3699111*COS(2*S31-Q31) - 2955968*COS(2*S31) - 569925*COS(2*Q31) + (1-0.002516*M31)*48888*COS(R31) - 3149*COS(2*T31)  +246158*COS(2*S31-2*Q31) -(1-0.002516*M31)*152138*COS(2*S31-R31-Q31) -170733*COS(2*S31+Q31) -(1-0.002516*M31)*204586*COS(2*S31-R31) -(1-0.002516*M31)*129620*COS(R31-Q31)  + 108743*COS(S31) +(1-0.002516*M31)*104755*COS(R31+Q31) +10321*COS(2*S31-2*T31) +79661*COS(Q31-2*T31) -34782*COS(4*S31-Q31) -23210*COS(3*Q31)  -21636*COS(4*S31-2*Q31) +(1-0.002516*M31)*24208*COS(2*S31+R31-Q31) +(1-0.002516*M31)*30824*COS(2*S31+R31) -8379*COS(S31-Q31) -(1-0.002516*M31)*16675*COS(S31+R31)  -(1-0.002516*M31)*12831*COS(2*S31-R31+Q31) -10445*COS(2*S31+2*Q31) -11650*COS(4*S31) +14403*COS(2*S31-3*Q31) -(1-0.002516*M31)*7003*COS(R31-2*Q31)  + (1-0.002516*M31)*10056*COS(2*S31-R31-2*Q31) +6322*COS(S31+Q31) -(1-0.002516*M31)*(1-0.002516*M31)*9884*COS(2*S31-2*R31) +(1-0.002516*M31)*5751*COS(R31+2*Q31) -(1-0.002516*M31)*(1-0.002516*M31)*4950*COS(2*S31-2*R31-Q31)  +4130*COS(2*S31+Q31-2*T31) -(1-0.002516*M31)*3958*COS(4*S31-R31-Q31) +3258*COS(3*S31-Q31) +(1-0.002516*M31)*2616*COS(2*S31+R31+Q31) -(1-0.002516*M31)*1897*COS(4*S31-R31-2*Q31)  -(1-0.002516*M31)*(1-0.002516*M31)*2117*COS(2*R31-Q31) +(1-0.002516*M31)*(1-0.002516*M31)*2354*COS(2*S31+2*R31-Q31) -1423*COS(4*S31+Q31) -1117*COS(4*Q31) -(1-0.002516*M31)*1571*COS(4*S31-R31)  -1739*COS(S31-2*Q31) -4421*COS(2*Q31-2*T31) +(1-0.002516*M31)*(1-0.002516*M31)*1165*COS(2*R31+Q31) +8752*COS(2*S31-Q31-2*T31))/1000</f>
        <v>368353.409166924</v>
      </c>
      <c r="AZ31" s="17" t="n">
        <f aca="false">AZ30+1</f>
        <v>303</v>
      </c>
      <c r="BA31" s="17" t="n">
        <v>30</v>
      </c>
      <c r="BB31" s="32" t="n">
        <f aca="false">ATAN(0.99664719*TAN($G$6*input!$E$2))</f>
        <v>-0.400219206115995</v>
      </c>
      <c r="BC31" s="32" t="n">
        <f aca="false">COS(BB31)</f>
        <v>0.920975608992155</v>
      </c>
      <c r="BD31" s="32" t="n">
        <f aca="false">0.99664719*SIN(BB31)</f>
        <v>-0.388313912533463</v>
      </c>
      <c r="BE31" s="32" t="n">
        <f aca="false">6378.14/AY31</f>
        <v>0.0173152734338063</v>
      </c>
      <c r="BF31" s="33" t="n">
        <f aca="false">N31-15*AH31</f>
        <v>-238.911631512046</v>
      </c>
      <c r="BG31" s="27" t="n">
        <f aca="false">COS($G$6*AG31)*SIN($G$6*BF31)</f>
        <v>0.759579215874206</v>
      </c>
      <c r="BH31" s="27" t="n">
        <f aca="false">COS($G$6*AG31)*COS($G$6*BF31)-BC31*BE31</f>
        <v>-0.473944133792431</v>
      </c>
      <c r="BI31" s="27" t="n">
        <f aca="false">SIN($G$6*AG31)-BD31*BE31</f>
        <v>-0.455096538335395</v>
      </c>
      <c r="BJ31" s="46" t="n">
        <f aca="false">SQRT(BG31^2+BH31^2+BI31^2)</f>
        <v>1.00433883044976</v>
      </c>
      <c r="BK31" s="35" t="n">
        <f aca="false">AY31*BJ31</f>
        <v>369951.63215489</v>
      </c>
      <c r="BL31" s="51" t="str">
        <f aca="false">IF(OR(AND(BK31&gt;BK30,BK31&gt;BK32),AND(BK31&lt;BK30,BK31&lt;BK32)),BK31,"")</f>
        <v/>
      </c>
    </row>
    <row r="32" customFormat="false" ht="15" hidden="false" customHeight="false" outlineLevel="0" collapsed="false">
      <c r="A32" s="20"/>
      <c r="B32" s="20"/>
      <c r="C32" s="20"/>
      <c r="D32" s="17" t="n">
        <f aca="false">AZ32-INT(275*E32/9)+IF($G$9="leap year",1,2)*INT((E32+9)/12)+30</f>
        <v>31</v>
      </c>
      <c r="E32" s="17" t="n">
        <f aca="false">IF(AZ32&lt;32,1,INT(9*IF($G$9="leap year",1+AZ32,2+AZ32)/275+0.98))</f>
        <v>10</v>
      </c>
      <c r="F32" s="17" t="n">
        <f aca="false">$F$2</f>
        <v>2022</v>
      </c>
      <c r="H32" s="39" t="n">
        <f aca="false">AM32</f>
        <v>-3.98374167148687</v>
      </c>
      <c r="I32" s="48" t="n">
        <f aca="false">H32+1.02/(TAN($G$6*(H32+10.3/(H32+5.11)))*60)</f>
        <v>-3.79554522839494</v>
      </c>
      <c r="J32" s="39" t="n">
        <f aca="false">100*(1+COS($G$6*AQ32))/2</f>
        <v>35.6872939988236</v>
      </c>
      <c r="K32" s="48" t="n">
        <f aca="false">IF(AI32&gt;180,AT32-180,AT32+180)</f>
        <v>239.310506045274</v>
      </c>
      <c r="L32" s="10" t="n">
        <f aca="false">L31+1</f>
        <v>2459883.5</v>
      </c>
      <c r="M32" s="49" t="n">
        <f aca="false">(L32-2451545)/36525</f>
        <v>0.22829568788501</v>
      </c>
      <c r="N32" s="10" t="n">
        <f aca="false">MOD(280.46061837+360.98564736629*(L32-2451545)+0.000387933*M32^2-M32^3/38710000+$G$4,360)</f>
        <v>39.2812023973092</v>
      </c>
      <c r="O32" s="24" t="n">
        <f aca="false">0.60643382+1336.85522467*M32 - 0.00000313*M32^2 - INT(0.60643382+1336.85522467*M32 - 0.00000313*M32^2)</f>
        <v>0.8047167755754</v>
      </c>
      <c r="P32" s="10" t="n">
        <f aca="false">22640*SIN(Q32)-4586*SIN(Q32-2*S32)+2370*SIN(2*S32)+769*SIN(2*Q32)-668*SIN(R32)-412*SIN(2*T32)-212*SIN(2*Q32-2*S32)-206*SIN(Q32+R32-2*S32)+192*SIN(Q32+2*S32)-165*SIN(R32-2*S32)-125*SIN(S32)-110*SIN(Q32+R32)+148*SIN(Q32-R32)-55*SIN(2*T32-2*S32)</f>
        <v>3636.28649161667</v>
      </c>
      <c r="Q32" s="18" t="n">
        <f aca="false">2*PI()*(0.374897+1325.55241*M32 - INT(0.374897+1325.55241*M32))</f>
        <v>6.23792292778409</v>
      </c>
      <c r="R32" s="26" t="n">
        <f aca="false">2*PI()*(0.993133+99.997361*M32 - INT(0.993133+99.997361*M32))</f>
        <v>5.16540234446894</v>
      </c>
      <c r="S32" s="26" t="n">
        <f aca="false">2*PI()*(0.827361+1236.853086*M32 - INT(0.827361+1236.853086*M32))</f>
        <v>1.22890987403898</v>
      </c>
      <c r="T32" s="26" t="n">
        <f aca="false">2*PI()*(0.259086+1342.227825*M32 - INT(0.259086+1342.227825*M32))</f>
        <v>4.29713707592037</v>
      </c>
      <c r="U32" s="26" t="n">
        <f aca="false">T32+(P32+412*SIN(2*T32)+541*SIN(R32))/206264.8062</f>
        <v>4.31388265529063</v>
      </c>
      <c r="V32" s="26" t="n">
        <f aca="false">T32-2*S32</f>
        <v>1.83931732784241</v>
      </c>
      <c r="W32" s="25" t="n">
        <f aca="false">-526*SIN(V32)+44*SIN(Q32+V32)-31*SIN(-Q32+V32)-23*SIN(R32+V32)+11*SIN(-R32+V32)-25*SIN(-2*Q32+T32)+21*SIN(-Q32+T32)</f>
        <v>-502.788768731838</v>
      </c>
      <c r="X32" s="26" t="n">
        <f aca="false">2*PI()*(O32+P32/1296000-INT(O32+P32/1296000))</f>
        <v>5.07381383513198</v>
      </c>
      <c r="Y32" s="26" t="n">
        <f aca="false">(18520*SIN(U32)+W32)/206264.8062</f>
        <v>-0.085189480907444</v>
      </c>
      <c r="Z32" s="26" t="n">
        <f aca="false">Y32*180/PI()</f>
        <v>-4.88099771490685</v>
      </c>
      <c r="AA32" s="26" t="n">
        <f aca="false">COS(Y32)*COS(X32)</f>
        <v>0.352325059849542</v>
      </c>
      <c r="AB32" s="26" t="n">
        <f aca="false">COS(Y32)*SIN(X32)</f>
        <v>-0.932001793693057</v>
      </c>
      <c r="AC32" s="26" t="n">
        <f aca="false">SIN(Y32)</f>
        <v>-0.0850864780969374</v>
      </c>
      <c r="AD32" s="26" t="n">
        <f aca="false">COS($G$6*(23.4393-46.815*M32/3600))*AB32-SIN($G$6*(23.4393-46.815*M32/3600))*AC32</f>
        <v>-0.821272653933235</v>
      </c>
      <c r="AE32" s="26" t="n">
        <f aca="false">SIN($G$6*(23.4393-46.815*M32/3600))*AB32+COS($G$6*(23.4393-46.815*M32/3600))*AC32</f>
        <v>-0.44875191376024</v>
      </c>
      <c r="AF32" s="26" t="n">
        <f aca="false">SQRT(1-AE32*AE32)</f>
        <v>0.893656376856632</v>
      </c>
      <c r="AG32" s="10" t="n">
        <f aca="false">ATAN(AE32/AF32)/$G$6</f>
        <v>-26.663636191449</v>
      </c>
      <c r="AH32" s="26" t="n">
        <f aca="false">IF(24*ATAN(AD32/(AA32+AF32))/PI()&gt;0,24*ATAN(AD32/(AA32+AF32))/PI(),24*ATAN(AD32/(AA32+AF32))/PI()+24)</f>
        <v>19.5479519184788</v>
      </c>
      <c r="AI32" s="10" t="n">
        <f aca="false">IF(N32-15*AH32&gt;0,N32-15*AH32,360+N32-15*AH32)</f>
        <v>106.061923620128</v>
      </c>
      <c r="AJ32" s="18" t="n">
        <f aca="false">0.950724+0.051818*COS(Q32)+0.009531*COS(2*S32-Q32)+0.007843*COS(2*S32)+0.002824*COS(2*Q32)+0.000857*COS(2*S32+Q32)+0.000533*COS(2*S32-R32)+0.000401*COS(2*S32-R32-Q32)+0.00032*COS(Q32-R32)-0.000271*COS(S32)</f>
        <v>0.990151775646277</v>
      </c>
      <c r="AK32" s="50" t="n">
        <f aca="false">ASIN(COS($G$6*$G$2)*COS($G$6*AG32)*COS($G$6*AI32)+SIN($G$6*$G$2)*SIN($G$6*AG32))/$G$6</f>
        <v>-2.99544561297829</v>
      </c>
      <c r="AL32" s="18" t="n">
        <f aca="false">ASIN((0.9983271+0.0016764*COS($G$6*2*$G$2))*COS($G$6*AK32)*SIN($G$6*AJ32))/$G$6</f>
        <v>0.988296058508575</v>
      </c>
      <c r="AM32" s="18" t="n">
        <f aca="false">AK32-AL32</f>
        <v>-3.98374167148687</v>
      </c>
      <c r="AN32" s="10" t="n">
        <f aca="false"> IF(280.4664567 + 360007.6982779*M32/10 + 0.03032028*M32^2/100 + M32^3/49931000&lt;0,MOD(280.4664567 + 360007.6982779*M32/10 + 0.03032028*M32^2/100 + M32^3/49931000+360,360),MOD(280.4664567 + 360007.6982779*M32/10 + 0.03032028*M32^2/100 + M32^3/49931000,360))</f>
        <v>219.286984728082</v>
      </c>
      <c r="AO32" s="27" t="n">
        <f aca="false"> AN32 + (1.9146 - 0.004817*M32 - 0.000014*M32^2)*SIN(R32)+ (0.019993 - 0.000101*M32)*SIN(2*R32)+ 0.00029*SIN(3*R32)</f>
        <v>217.550838875968</v>
      </c>
      <c r="AP32" s="18" t="n">
        <f aca="false">ACOS(COS(X32-$G$6*AO32)*COS(Y32))/$G$6</f>
        <v>73.2201707737721</v>
      </c>
      <c r="AQ32" s="25" t="n">
        <f aca="false">180 - AP32 -0.1468*(1-0.0549*SIN(R32))*SIN($G$6*AP32)/(1-0.0167*SIN($G$6*AO32))</f>
        <v>106.633827954147</v>
      </c>
      <c r="AR32" s="25" t="n">
        <f aca="false">SIN($G$6*AI32)</f>
        <v>0.960963233711665</v>
      </c>
      <c r="AS32" s="25" t="n">
        <f aca="false">COS($G$6*AI32)*SIN($G$6*$G$2) - TAN($G$6*AG32)*COS($G$6*$G$2)</f>
        <v>0.570339911483098</v>
      </c>
      <c r="AT32" s="25" t="n">
        <f aca="false">IF(OR(AND(AR32*AS32&gt;0), AND(AR32&lt;0,AS32&gt;0)), MOD(ATAN2(AS32,AR32)/$G$6+360,360),  ATAN2(AS32,AR32)/$G$6)</f>
        <v>59.3105060452739</v>
      </c>
      <c r="AU32" s="18" t="n">
        <f aca="false">IF((X32-X31)/$G$6&lt;0,(X32-X31)/$G$6+360,(X32-X31)/$G$6)</f>
        <v>14.3016370908807</v>
      </c>
      <c r="AV32" s="29" t="n">
        <f aca="false">(1+SIN($G$6*H32)*SIN($G$6*AJ32))*120*ASIN(0.272481*SIN($G$6*AJ32))/$G$6</f>
        <v>32.3353471972739</v>
      </c>
      <c r="AW32" s="10" t="n">
        <f aca="false">COS(X32)</f>
        <v>0.353607392260604</v>
      </c>
      <c r="AX32" s="10" t="n">
        <f aca="false">SIN(X32)</f>
        <v>-0.935393934200268</v>
      </c>
      <c r="AY32" s="30" t="n">
        <f aca="false"> 385000.56 + (-20905355*COS(Q32) - 3699111*COS(2*S32-Q32) - 2955968*COS(2*S32) - 569925*COS(2*Q32) + (1-0.002516*M32)*48888*COS(R32) - 3149*COS(2*T32)  +246158*COS(2*S32-2*Q32) -(1-0.002516*M32)*152138*COS(2*S32-R32-Q32) -170733*COS(2*S32+Q32) -(1-0.002516*M32)*204586*COS(2*S32-R32) -(1-0.002516*M32)*129620*COS(R32-Q32)  + 108743*COS(S32) +(1-0.002516*M32)*104755*COS(R32+Q32) +10321*COS(2*S32-2*T32) +79661*COS(Q32-2*T32) -34782*COS(4*S32-Q32) -23210*COS(3*Q32)  -21636*COS(4*S32-2*Q32) +(1-0.002516*M32)*24208*COS(2*S32+R32-Q32) +(1-0.002516*M32)*30824*COS(2*S32+R32) -8379*COS(S32-Q32) -(1-0.002516*M32)*16675*COS(S32+R32)  -(1-0.002516*M32)*12831*COS(2*S32-R32+Q32) -10445*COS(2*S32+2*Q32) -11650*COS(4*S32) +14403*COS(2*S32-3*Q32) -(1-0.002516*M32)*7003*COS(R32-2*Q32)  + (1-0.002516*M32)*10056*COS(2*S32-R32-2*Q32) +6322*COS(S32+Q32) -(1-0.002516*M32)*(1-0.002516*M32)*9884*COS(2*S32-2*R32) +(1-0.002516*M32)*5751*COS(R32+2*Q32) -(1-0.002516*M32)*(1-0.002516*M32)*4950*COS(2*S32-2*R32-Q32)  +4130*COS(2*S32+Q32-2*T32) -(1-0.002516*M32)*3958*COS(4*S32-R32-Q32) +3258*COS(3*S32-Q32) +(1-0.002516*M32)*2616*COS(2*S32+R32+Q32) -(1-0.002516*M32)*1897*COS(4*S32-R32-2*Q32)  -(1-0.002516*M32)*(1-0.002516*M32)*2117*COS(2*R32-Q32) +(1-0.002516*M32)*(1-0.002516*M32)*2354*COS(2*S32+2*R32-Q32) -1423*COS(4*S32+Q32) -1117*COS(4*Q32) -(1-0.002516*M32)*1571*COS(4*S32-R32)  -1739*COS(S32-2*Q32) -4421*COS(2*Q32-2*T32) +(1-0.002516*M32)*(1-0.002516*M32)*1165*COS(2*R32+Q32) +8752*COS(2*S32-Q32-2*T32))/1000</f>
        <v>369007.135516517</v>
      </c>
      <c r="AZ32" s="17" t="n">
        <f aca="false">AZ31+1</f>
        <v>304</v>
      </c>
      <c r="BA32" s="17" t="n">
        <v>31</v>
      </c>
      <c r="BB32" s="32" t="n">
        <f aca="false">ATAN(0.99664719*TAN($G$6*input!$E$2))</f>
        <v>-0.400219206115995</v>
      </c>
      <c r="BC32" s="32" t="n">
        <f aca="false">COS(BB32)</f>
        <v>0.920975608992155</v>
      </c>
      <c r="BD32" s="32" t="n">
        <f aca="false">0.99664719*SIN(BB32)</f>
        <v>-0.388313912533463</v>
      </c>
      <c r="BE32" s="32" t="n">
        <f aca="false">6378.14/AY32</f>
        <v>0.0172845980093914</v>
      </c>
      <c r="BF32" s="33" t="n">
        <f aca="false">N32-15*AH32</f>
        <v>-253.938076379872</v>
      </c>
      <c r="BG32" s="27" t="n">
        <f aca="false">COS($G$6*AG32)*SIN($G$6*BF32)</f>
        <v>0.858770921731199</v>
      </c>
      <c r="BH32" s="27" t="n">
        <f aca="false">COS($G$6*AG32)*COS($G$6*BF32)-BC32*BE32</f>
        <v>-0.263172052883002</v>
      </c>
      <c r="BI32" s="27" t="n">
        <f aca="false">SIN($G$6*AG32)-BD32*BE32</f>
        <v>-0.442040063880645</v>
      </c>
      <c r="BJ32" s="46" t="n">
        <f aca="false">SQRT(BG32^2+BH32^2+BI32^2)</f>
        <v>1.00107264646743</v>
      </c>
      <c r="BK32" s="35" t="n">
        <f aca="false">AY32*BJ32</f>
        <v>369402.949716886</v>
      </c>
    </row>
    <row r="33" customFormat="false" ht="15" hidden="false" customHeight="false" outlineLevel="0" collapsed="false">
      <c r="D33" s="20"/>
      <c r="H33" s="22"/>
      <c r="I33" s="20"/>
      <c r="K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O33" s="27"/>
      <c r="AP33" s="28"/>
      <c r="AQ33" s="20"/>
      <c r="AR33" s="20"/>
      <c r="AS33" s="20"/>
      <c r="AT33" s="20"/>
      <c r="BB33" s="0"/>
      <c r="BC33" s="0"/>
      <c r="BD33" s="0"/>
      <c r="BE33" s="0"/>
      <c r="BF33" s="0"/>
      <c r="BG33" s="0"/>
      <c r="BH33" s="0"/>
      <c r="BI33" s="0"/>
      <c r="BJ33" s="0"/>
      <c r="BK33" s="54"/>
    </row>
    <row r="34" customFormat="false" ht="15" hidden="false" customHeight="false" outlineLevel="0" collapsed="false">
      <c r="D34" s="20"/>
      <c r="H34" s="22"/>
      <c r="I34" s="20"/>
      <c r="K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40"/>
      <c r="AO34" s="27"/>
      <c r="AP34" s="28"/>
      <c r="AQ34" s="25"/>
      <c r="AR34" s="20"/>
      <c r="AS34" s="20"/>
      <c r="AT34" s="20"/>
      <c r="AV34" s="25" t="n">
        <f aca="false">MAX(AV2:AV32)</f>
        <v>32.6851032092342</v>
      </c>
      <c r="BB34" s="0"/>
      <c r="BC34" s="0"/>
      <c r="BD34" s="0"/>
      <c r="BE34" s="0"/>
      <c r="BF34" s="0"/>
      <c r="BG34" s="0"/>
      <c r="BH34" s="0"/>
      <c r="BI34" s="0"/>
      <c r="BJ34" s="0"/>
      <c r="BK34" s="55" t="s">
        <v>78</v>
      </c>
      <c r="BL34" s="51" t="n">
        <f aca="false">MAX(BL3:BL31)</f>
        <v>405634.036797525</v>
      </c>
      <c r="BM34" s="12" t="n">
        <f aca="false">MATCH(MAX(BK3:BK31),topo,0)+1</f>
        <v>18</v>
      </c>
      <c r="BN34" s="0" t="e">
        <f aca="false">INDEX(ut,BM34)</f>
        <v>#NAME?</v>
      </c>
    </row>
    <row r="35" customFormat="false" ht="15" hidden="false" customHeight="false" outlineLevel="0" collapsed="false">
      <c r="D35" s="20"/>
      <c r="H35" s="22"/>
      <c r="I35" s="20"/>
      <c r="K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40"/>
      <c r="AO35" s="27"/>
      <c r="AP35" s="28"/>
      <c r="AQ35" s="25"/>
      <c r="AR35" s="20"/>
      <c r="AS35" s="20"/>
      <c r="AT35" s="20"/>
      <c r="BB35" s="0"/>
      <c r="BC35" s="0"/>
      <c r="BD35" s="0"/>
      <c r="BE35" s="0"/>
      <c r="BF35" s="0"/>
      <c r="BG35" s="0"/>
      <c r="BH35" s="0"/>
      <c r="BI35" s="0"/>
      <c r="BJ35" s="0"/>
      <c r="BK35" s="55" t="s">
        <v>1</v>
      </c>
      <c r="BL35" s="51" t="n">
        <f aca="false">MIN(BL3:BL31)</f>
        <v>365420.25725133</v>
      </c>
      <c r="BM35" s="12" t="n">
        <f aca="false">MATCH(MIN(BK3:BK31),topo,0)+1</f>
        <v>6</v>
      </c>
      <c r="BN35" s="0" t="e">
        <f aca="false">INDEX(ut,BM35)</f>
        <v>#NAME?</v>
      </c>
    </row>
    <row r="36" customFormat="false" ht="15" hidden="false" customHeight="false" outlineLevel="0" collapsed="false">
      <c r="D36" s="20"/>
      <c r="H36" s="22"/>
      <c r="I36" s="20"/>
      <c r="K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R36" s="20"/>
      <c r="AS36" s="20"/>
      <c r="AT36" s="20"/>
      <c r="BB36" s="0"/>
      <c r="BC36" s="0"/>
      <c r="BD36" s="0"/>
      <c r="BE36" s="0"/>
      <c r="BF36" s="0"/>
      <c r="BG36" s="0"/>
      <c r="BH36" s="0"/>
      <c r="BI36" s="0"/>
      <c r="BJ36" s="0"/>
      <c r="BK36" s="54"/>
    </row>
    <row r="37" customFormat="false" ht="15" hidden="false" customHeight="false" outlineLevel="0" collapsed="false">
      <c r="D37" s="20"/>
      <c r="H37" s="22"/>
      <c r="I37" s="20"/>
      <c r="K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R37" s="20"/>
      <c r="AS37" s="20"/>
      <c r="AT37" s="20"/>
      <c r="BB37" s="0"/>
      <c r="BC37" s="0"/>
      <c r="BD37" s="0"/>
      <c r="BE37" s="0"/>
      <c r="BF37" s="0"/>
      <c r="BG37" s="0"/>
      <c r="BH37" s="0"/>
      <c r="BI37" s="0"/>
      <c r="BJ37" s="0"/>
      <c r="BK37" s="54"/>
    </row>
    <row r="38" customFormat="false" ht="15" hidden="false" customHeight="false" outlineLevel="0" collapsed="false">
      <c r="D38" s="20"/>
      <c r="H38" s="22"/>
      <c r="I38" s="20"/>
      <c r="K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R38" s="20"/>
      <c r="AS38" s="20"/>
      <c r="AT38" s="20"/>
      <c r="BB38" s="0"/>
      <c r="BC38" s="0"/>
      <c r="BD38" s="0"/>
      <c r="BE38" s="0"/>
      <c r="BF38" s="0"/>
      <c r="BG38" s="0"/>
      <c r="BH38" s="0"/>
      <c r="BI38" s="0"/>
      <c r="BJ38" s="0"/>
      <c r="BK38" s="54"/>
    </row>
    <row r="39" customFormat="false" ht="15" hidden="false" customHeight="false" outlineLevel="0" collapsed="false">
      <c r="D39" s="20"/>
      <c r="H39" s="22"/>
      <c r="I39" s="20"/>
      <c r="K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R39" s="20"/>
      <c r="AS39" s="20"/>
      <c r="AT39" s="20"/>
      <c r="BB39" s="0"/>
      <c r="BC39" s="0"/>
      <c r="BD39" s="0"/>
      <c r="BE39" s="0"/>
      <c r="BF39" s="0"/>
      <c r="BG39" s="0"/>
      <c r="BH39" s="0"/>
      <c r="BI39" s="0"/>
      <c r="BJ39" s="0"/>
      <c r="BK39" s="54"/>
    </row>
    <row r="40" customFormat="false" ht="15" hidden="false" customHeight="false" outlineLevel="0" collapsed="false">
      <c r="D40" s="20"/>
      <c r="H40" s="22"/>
      <c r="I40" s="20"/>
      <c r="K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R40" s="20"/>
      <c r="AS40" s="20"/>
      <c r="AT40" s="20"/>
      <c r="BB40" s="0"/>
      <c r="BC40" s="0"/>
      <c r="BD40" s="0"/>
      <c r="BE40" s="0"/>
      <c r="BF40" s="0"/>
      <c r="BG40" s="0"/>
      <c r="BH40" s="0"/>
      <c r="BI40" s="0"/>
      <c r="BJ40" s="0"/>
      <c r="BK40" s="54"/>
    </row>
    <row r="41" customFormat="false" ht="15" hidden="false" customHeight="false" outlineLevel="0" collapsed="false">
      <c r="D41" s="20"/>
      <c r="H41" s="22"/>
      <c r="I41" s="20"/>
      <c r="K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R41" s="20"/>
      <c r="AS41" s="20"/>
      <c r="AT41" s="20"/>
      <c r="BB41" s="0"/>
      <c r="BC41" s="0"/>
      <c r="BD41" s="0"/>
      <c r="BE41" s="0"/>
      <c r="BF41" s="0"/>
      <c r="BG41" s="0"/>
      <c r="BH41" s="0"/>
      <c r="BI41" s="0"/>
      <c r="BJ41" s="0"/>
      <c r="BK41" s="54"/>
    </row>
    <row r="42" customFormat="false" ht="15" hidden="false" customHeight="false" outlineLevel="0" collapsed="false">
      <c r="D42" s="20"/>
      <c r="H42" s="22"/>
      <c r="I42" s="20"/>
      <c r="K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R42" s="20"/>
      <c r="AS42" s="20"/>
      <c r="AT42" s="20"/>
      <c r="BB42" s="0"/>
      <c r="BC42" s="0"/>
      <c r="BD42" s="0"/>
      <c r="BE42" s="0"/>
      <c r="BF42" s="0"/>
      <c r="BG42" s="0"/>
      <c r="BH42" s="0"/>
      <c r="BI42" s="0"/>
      <c r="BJ42" s="0"/>
      <c r="BK42" s="54"/>
    </row>
    <row r="43" customFormat="false" ht="15" hidden="false" customHeight="false" outlineLevel="0" collapsed="false">
      <c r="D43" s="20"/>
      <c r="H43" s="22"/>
      <c r="I43" s="20"/>
      <c r="K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R43" s="20"/>
      <c r="AS43" s="20"/>
      <c r="AT43" s="20"/>
      <c r="BB43" s="0"/>
      <c r="BC43" s="0"/>
      <c r="BD43" s="0"/>
      <c r="BE43" s="0"/>
      <c r="BF43" s="0"/>
      <c r="BG43" s="0"/>
      <c r="BH43" s="0"/>
      <c r="BI43" s="0"/>
      <c r="BJ43" s="0"/>
      <c r="BK43" s="54"/>
    </row>
    <row r="44" customFormat="false" ht="15" hidden="false" customHeight="false" outlineLevel="0" collapsed="false">
      <c r="D44" s="20"/>
      <c r="H44" s="22"/>
      <c r="I44" s="20"/>
      <c r="K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R44" s="20"/>
      <c r="AS44" s="20"/>
      <c r="AT44" s="20"/>
      <c r="BB44" s="0"/>
      <c r="BC44" s="0"/>
      <c r="BD44" s="0"/>
      <c r="BE44" s="0"/>
      <c r="BF44" s="0"/>
      <c r="BG44" s="0"/>
      <c r="BH44" s="0"/>
      <c r="BI44" s="0"/>
      <c r="BJ44" s="0"/>
      <c r="BK44" s="54"/>
    </row>
    <row r="45" customFormat="false" ht="15" hidden="false" customHeight="false" outlineLevel="0" collapsed="false">
      <c r="D45" s="20"/>
      <c r="H45" s="22"/>
      <c r="I45" s="20"/>
      <c r="K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R45" s="20"/>
      <c r="AS45" s="20"/>
      <c r="AT45" s="20"/>
      <c r="BB45" s="0"/>
      <c r="BC45" s="0"/>
      <c r="BD45" s="0"/>
      <c r="BE45" s="0"/>
      <c r="BF45" s="0"/>
      <c r="BG45" s="0"/>
      <c r="BH45" s="0"/>
      <c r="BI45" s="0"/>
      <c r="BJ45" s="0"/>
      <c r="BK45" s="54"/>
    </row>
    <row r="46" customFormat="false" ht="15" hidden="false" customHeight="false" outlineLevel="0" collapsed="false">
      <c r="D46" s="20"/>
      <c r="H46" s="22"/>
      <c r="I46" s="20"/>
      <c r="K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R46" s="20"/>
      <c r="AS46" s="20"/>
      <c r="AT46" s="20"/>
      <c r="BB46" s="0"/>
      <c r="BC46" s="0"/>
      <c r="BD46" s="0"/>
      <c r="BE46" s="0"/>
      <c r="BF46" s="0"/>
      <c r="BG46" s="0"/>
      <c r="BH46" s="0"/>
      <c r="BI46" s="0"/>
      <c r="BJ46" s="0"/>
      <c r="BK46" s="54"/>
    </row>
    <row r="47" customFormat="false" ht="15" hidden="false" customHeight="false" outlineLevel="0" collapsed="false">
      <c r="D47" s="20"/>
      <c r="H47" s="22"/>
      <c r="I47" s="20"/>
      <c r="K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R47" s="20"/>
      <c r="AS47" s="20"/>
      <c r="AT47" s="20"/>
      <c r="BB47" s="0"/>
      <c r="BC47" s="0"/>
      <c r="BD47" s="0"/>
      <c r="BE47" s="0"/>
      <c r="BF47" s="0"/>
      <c r="BG47" s="0"/>
      <c r="BH47" s="0"/>
      <c r="BI47" s="0"/>
      <c r="BJ47" s="0"/>
      <c r="BK47" s="54"/>
    </row>
    <row r="48" customFormat="false" ht="15" hidden="false" customHeight="false" outlineLevel="0" collapsed="false">
      <c r="D48" s="20"/>
      <c r="H48" s="22"/>
      <c r="I48" s="20"/>
      <c r="K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R48" s="20"/>
      <c r="AS48" s="20"/>
      <c r="AT48" s="20"/>
      <c r="BB48" s="0"/>
      <c r="BC48" s="0"/>
      <c r="BD48" s="0"/>
      <c r="BE48" s="0"/>
      <c r="BF48" s="0"/>
      <c r="BG48" s="0"/>
      <c r="BH48" s="0"/>
      <c r="BI48" s="0"/>
      <c r="BJ48" s="0"/>
      <c r="BK48" s="54"/>
    </row>
    <row r="49" customFormat="false" ht="15" hidden="false" customHeight="false" outlineLevel="0" collapsed="false">
      <c r="D49" s="20"/>
      <c r="H49" s="22"/>
      <c r="I49" s="20"/>
      <c r="K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R49" s="20"/>
      <c r="AS49" s="20"/>
      <c r="AT49" s="20"/>
      <c r="BB49" s="0"/>
      <c r="BC49" s="0"/>
      <c r="BD49" s="0"/>
      <c r="BE49" s="0"/>
      <c r="BF49" s="0"/>
      <c r="BG49" s="0"/>
      <c r="BH49" s="0"/>
      <c r="BI49" s="0"/>
      <c r="BJ49" s="0"/>
      <c r="BK49" s="54"/>
    </row>
    <row r="50" customFormat="false" ht="15" hidden="false" customHeight="false" outlineLevel="0" collapsed="false">
      <c r="D50" s="20"/>
      <c r="H50" s="22"/>
      <c r="I50" s="20"/>
      <c r="K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R50" s="20"/>
      <c r="AS50" s="20"/>
      <c r="AT50" s="20"/>
      <c r="BB50" s="0"/>
      <c r="BC50" s="0"/>
      <c r="BD50" s="0"/>
      <c r="BE50" s="0"/>
      <c r="BF50" s="0"/>
      <c r="BG50" s="0"/>
      <c r="BH50" s="0"/>
      <c r="BI50" s="0"/>
      <c r="BJ50" s="0"/>
      <c r="BK50" s="54"/>
    </row>
    <row r="51" customFormat="false" ht="15" hidden="false" customHeight="false" outlineLevel="0" collapsed="false">
      <c r="D51" s="20"/>
      <c r="H51" s="22"/>
      <c r="M51" s="20"/>
      <c r="N51" s="20"/>
      <c r="Q51" s="17"/>
      <c r="R51" s="17"/>
      <c r="S51" s="17"/>
      <c r="T51" s="17"/>
      <c r="U51" s="17"/>
      <c r="AG51" s="20"/>
      <c r="AI51" s="20"/>
      <c r="BB51" s="0"/>
      <c r="BC51" s="0"/>
      <c r="BD51" s="0"/>
      <c r="BE51" s="0"/>
      <c r="BF51" s="0"/>
      <c r="BG51" s="0"/>
      <c r="BH51" s="0"/>
      <c r="BI51" s="0"/>
      <c r="BJ51" s="0"/>
      <c r="BK51" s="54"/>
    </row>
    <row r="52" customFormat="false" ht="15" hidden="false" customHeight="false" outlineLevel="0" collapsed="false">
      <c r="BB52" s="0"/>
      <c r="BC52" s="0"/>
      <c r="BD52" s="0"/>
      <c r="BE52" s="0"/>
      <c r="BF52" s="0"/>
      <c r="BG52" s="0"/>
      <c r="BH52" s="0"/>
      <c r="BI52" s="0"/>
      <c r="BJ52" s="0"/>
      <c r="BK52" s="54"/>
    </row>
    <row r="53" customFormat="false" ht="15" hidden="false" customHeight="false" outlineLevel="0" collapsed="false">
      <c r="BB53" s="0"/>
      <c r="BC53" s="0"/>
      <c r="BD53" s="0"/>
      <c r="BE53" s="0"/>
      <c r="BF53" s="0"/>
      <c r="BG53" s="0"/>
      <c r="BH53" s="0"/>
      <c r="BI53" s="0"/>
      <c r="BJ53" s="0"/>
      <c r="BK53" s="54"/>
    </row>
    <row r="54" customFormat="false" ht="15" hidden="false" customHeight="false" outlineLevel="0" collapsed="false">
      <c r="BB54" s="0"/>
      <c r="BC54" s="0"/>
      <c r="BD54" s="0"/>
      <c r="BE54" s="0"/>
      <c r="BF54" s="0"/>
      <c r="BG54" s="0"/>
      <c r="BH54" s="0"/>
      <c r="BI54" s="0"/>
      <c r="BJ54" s="0"/>
      <c r="BK54" s="54"/>
    </row>
    <row r="55" customFormat="false" ht="15" hidden="false" customHeight="false" outlineLevel="0" collapsed="false">
      <c r="BB55" s="0"/>
      <c r="BC55" s="0"/>
      <c r="BD55" s="0"/>
      <c r="BE55" s="0"/>
      <c r="BF55" s="0"/>
      <c r="BG55" s="0"/>
      <c r="BH55" s="0"/>
      <c r="BI55" s="0"/>
      <c r="BJ55" s="0"/>
      <c r="BK55" s="54"/>
    </row>
    <row r="56" customFormat="false" ht="15" hidden="false" customHeight="false" outlineLevel="0" collapsed="false">
      <c r="L56" s="0"/>
      <c r="BB56" s="0"/>
      <c r="BC56" s="0"/>
      <c r="BD56" s="0"/>
      <c r="BE56" s="0"/>
      <c r="BF56" s="0"/>
      <c r="BG56" s="0"/>
      <c r="BH56" s="0"/>
      <c r="BI56" s="0"/>
      <c r="BJ56" s="0"/>
      <c r="BK56" s="54"/>
    </row>
    <row r="57" customFormat="false" ht="15" hidden="false" customHeight="false" outlineLevel="0" collapsed="false">
      <c r="BB57" s="0"/>
      <c r="BC57" s="0"/>
      <c r="BD57" s="0"/>
      <c r="BE57" s="0"/>
      <c r="BF57" s="0"/>
      <c r="BG57" s="0"/>
      <c r="BH57" s="0"/>
      <c r="BI57" s="0"/>
      <c r="BJ57" s="0"/>
      <c r="BK57" s="54"/>
    </row>
    <row r="58" customFormat="false" ht="15" hidden="false" customHeight="false" outlineLevel="0" collapsed="false">
      <c r="BB58" s="0"/>
      <c r="BC58" s="0"/>
      <c r="BD58" s="0"/>
      <c r="BE58" s="0"/>
      <c r="BF58" s="0"/>
      <c r="BG58" s="0"/>
      <c r="BH58" s="0"/>
      <c r="BI58" s="0"/>
      <c r="BJ58" s="0"/>
      <c r="BK58" s="54"/>
    </row>
    <row r="59" customFormat="false" ht="15" hidden="false" customHeight="false" outlineLevel="0" collapsed="false">
      <c r="BB59" s="0"/>
      <c r="BC59" s="0"/>
      <c r="BD59" s="0"/>
      <c r="BE59" s="0"/>
      <c r="BF59" s="0"/>
      <c r="BG59" s="0"/>
      <c r="BH59" s="0"/>
      <c r="BI59" s="0"/>
      <c r="BJ59" s="0"/>
      <c r="BK59" s="54"/>
    </row>
    <row r="60" customFormat="false" ht="15" hidden="false" customHeight="false" outlineLevel="0" collapsed="false">
      <c r="BB60" s="0"/>
      <c r="BC60" s="0"/>
      <c r="BD60" s="0"/>
      <c r="BE60" s="0"/>
      <c r="BF60" s="0"/>
      <c r="BG60" s="0"/>
      <c r="BH60" s="0"/>
      <c r="BI60" s="0"/>
      <c r="BJ60" s="0"/>
      <c r="BK60" s="54"/>
    </row>
    <row r="61" customFormat="false" ht="15" hidden="false" customHeight="false" outlineLevel="0" collapsed="false">
      <c r="BB61" s="0"/>
      <c r="BC61" s="0"/>
      <c r="BD61" s="0"/>
      <c r="BE61" s="0"/>
      <c r="BF61" s="0"/>
      <c r="BG61" s="0"/>
      <c r="BH61" s="0"/>
      <c r="BI61" s="0"/>
      <c r="BJ61" s="0"/>
      <c r="BK61" s="54"/>
    </row>
    <row r="62" customFormat="false" ht="15" hidden="false" customHeight="false" outlineLevel="0" collapsed="false">
      <c r="BB62" s="0"/>
      <c r="BC62" s="0"/>
      <c r="BD62" s="0"/>
      <c r="BE62" s="0"/>
      <c r="BF62" s="0"/>
      <c r="BG62" s="0"/>
      <c r="BH62" s="0"/>
      <c r="BI62" s="0"/>
      <c r="BJ62" s="0"/>
      <c r="BK62" s="54"/>
    </row>
    <row r="63" customFormat="false" ht="15" hidden="false" customHeight="false" outlineLevel="0" collapsed="false">
      <c r="BB63" s="0"/>
      <c r="BC63" s="0"/>
      <c r="BD63" s="0"/>
      <c r="BE63" s="0"/>
      <c r="BF63" s="0"/>
      <c r="BG63" s="0"/>
      <c r="BH63" s="0"/>
      <c r="BI63" s="0"/>
      <c r="BJ63" s="0"/>
      <c r="BK63" s="54"/>
    </row>
    <row r="64" customFormat="false" ht="15" hidden="false" customHeight="false" outlineLevel="0" collapsed="false">
      <c r="BB64" s="0"/>
      <c r="BC64" s="0"/>
      <c r="BD64" s="0"/>
      <c r="BE64" s="0"/>
      <c r="BF64" s="0"/>
      <c r="BG64" s="0"/>
      <c r="BH64" s="0"/>
      <c r="BI64" s="0"/>
      <c r="BJ64" s="0"/>
      <c r="BK64" s="54"/>
    </row>
    <row r="65" customFormat="false" ht="15" hidden="false" customHeight="false" outlineLevel="0" collapsed="false">
      <c r="BB65" s="0"/>
      <c r="BC65" s="0"/>
      <c r="BD65" s="0"/>
      <c r="BE65" s="0"/>
      <c r="BF65" s="0"/>
      <c r="BG65" s="0"/>
      <c r="BH65" s="0"/>
      <c r="BI65" s="0"/>
      <c r="BJ65" s="0"/>
      <c r="BK65" s="54"/>
    </row>
    <row r="66" customFormat="false" ht="15" hidden="false" customHeight="false" outlineLevel="0" collapsed="false">
      <c r="BB66" s="0"/>
      <c r="BC66" s="0"/>
      <c r="BD66" s="0"/>
      <c r="BE66" s="0"/>
      <c r="BF66" s="0"/>
      <c r="BG66" s="0"/>
      <c r="BH66" s="0"/>
      <c r="BI66" s="0"/>
      <c r="BJ66" s="0"/>
      <c r="BK66" s="54"/>
    </row>
    <row r="67" customFormat="false" ht="15" hidden="false" customHeight="false" outlineLevel="0" collapsed="false">
      <c r="BB67" s="0"/>
      <c r="BC67" s="0"/>
      <c r="BD67" s="0"/>
      <c r="BE67" s="0"/>
      <c r="BF67" s="0"/>
      <c r="BG67" s="0"/>
      <c r="BH67" s="0"/>
      <c r="BI67" s="0"/>
      <c r="BJ67" s="0"/>
      <c r="BK67" s="54"/>
    </row>
    <row r="68" customFormat="false" ht="15" hidden="false" customHeight="false" outlineLevel="0" collapsed="false">
      <c r="BB68" s="0"/>
      <c r="BC68" s="0"/>
      <c r="BD68" s="0"/>
      <c r="BE68" s="0"/>
      <c r="BF68" s="0"/>
      <c r="BG68" s="0"/>
      <c r="BH68" s="0"/>
      <c r="BI68" s="0"/>
      <c r="BJ68" s="0"/>
      <c r="BK68" s="54"/>
    </row>
    <row r="69" customFormat="false" ht="15" hidden="false" customHeight="false" outlineLevel="0" collapsed="false">
      <c r="BB69" s="0"/>
      <c r="BC69" s="0"/>
      <c r="BD69" s="0"/>
      <c r="BE69" s="0"/>
      <c r="BF69" s="0"/>
      <c r="BG69" s="0"/>
      <c r="BH69" s="0"/>
      <c r="BI69" s="0"/>
      <c r="BJ69" s="0"/>
      <c r="BK69" s="54"/>
    </row>
    <row r="70" customFormat="false" ht="15" hidden="false" customHeight="false" outlineLevel="0" collapsed="false">
      <c r="BB70" s="0"/>
      <c r="BC70" s="0"/>
      <c r="BD70" s="0"/>
      <c r="BE70" s="0"/>
      <c r="BF70" s="0"/>
      <c r="BG70" s="0"/>
      <c r="BH70" s="0"/>
      <c r="BI70" s="0"/>
      <c r="BJ70" s="0"/>
      <c r="BK70" s="54"/>
    </row>
    <row r="71" customFormat="false" ht="15" hidden="false" customHeight="false" outlineLevel="0" collapsed="false">
      <c r="BB71" s="0"/>
      <c r="BC71" s="0"/>
      <c r="BD71" s="0"/>
      <c r="BE71" s="0"/>
      <c r="BF71" s="0"/>
      <c r="BG71" s="0"/>
      <c r="BH71" s="0"/>
      <c r="BI71" s="0"/>
      <c r="BJ71" s="0"/>
      <c r="BK71" s="54"/>
    </row>
    <row r="72" customFormat="false" ht="15" hidden="false" customHeight="false" outlineLevel="0" collapsed="false">
      <c r="BB72" s="0"/>
      <c r="BC72" s="0"/>
      <c r="BD72" s="0"/>
      <c r="BE72" s="0"/>
      <c r="BF72" s="0"/>
      <c r="BG72" s="0"/>
      <c r="BH72" s="0"/>
      <c r="BI72" s="0"/>
      <c r="BJ72" s="0"/>
      <c r="BK72" s="54"/>
    </row>
    <row r="73" customFormat="false" ht="15" hidden="false" customHeight="false" outlineLevel="0" collapsed="false">
      <c r="BB73" s="0"/>
      <c r="BC73" s="0"/>
      <c r="BD73" s="0"/>
      <c r="BE73" s="0"/>
      <c r="BF73" s="0"/>
      <c r="BG73" s="0"/>
      <c r="BH73" s="0"/>
      <c r="BI73" s="0"/>
      <c r="BJ73" s="0"/>
      <c r="BK73" s="54"/>
    </row>
    <row r="74" customFormat="false" ht="15" hidden="false" customHeight="false" outlineLevel="0" collapsed="false">
      <c r="BB74" s="0"/>
      <c r="BC74" s="0"/>
      <c r="BD74" s="0"/>
      <c r="BE74" s="0"/>
      <c r="BF74" s="0"/>
      <c r="BG74" s="0"/>
      <c r="BH74" s="0"/>
      <c r="BI74" s="0"/>
      <c r="BJ74" s="0"/>
      <c r="BK74" s="54"/>
    </row>
    <row r="75" customFormat="false" ht="15" hidden="false" customHeight="false" outlineLevel="0" collapsed="false">
      <c r="BB75" s="0"/>
      <c r="BC75" s="0"/>
      <c r="BD75" s="0"/>
      <c r="BE75" s="0"/>
      <c r="BF75" s="0"/>
      <c r="BG75" s="0"/>
      <c r="BH75" s="0"/>
      <c r="BI75" s="0"/>
      <c r="BJ75" s="0"/>
      <c r="BK75" s="54"/>
    </row>
    <row r="76" customFormat="false" ht="15" hidden="false" customHeight="false" outlineLevel="0" collapsed="false">
      <c r="BB76" s="0"/>
      <c r="BC76" s="0"/>
      <c r="BD76" s="0"/>
      <c r="BE76" s="0"/>
      <c r="BF76" s="0"/>
      <c r="BG76" s="0"/>
      <c r="BH76" s="0"/>
      <c r="BI76" s="0"/>
      <c r="BJ76" s="0"/>
      <c r="BK76" s="54"/>
    </row>
    <row r="77" customFormat="false" ht="15" hidden="false" customHeight="false" outlineLevel="0" collapsed="false">
      <c r="BB77" s="0"/>
      <c r="BC77" s="0"/>
      <c r="BD77" s="0"/>
      <c r="BE77" s="0"/>
      <c r="BF77" s="0"/>
      <c r="BG77" s="0"/>
      <c r="BH77" s="0"/>
      <c r="BI77" s="0"/>
      <c r="BJ77" s="0"/>
      <c r="BK77" s="54"/>
    </row>
    <row r="78" customFormat="false" ht="15" hidden="false" customHeight="false" outlineLevel="0" collapsed="false">
      <c r="BB78" s="0"/>
      <c r="BC78" s="0"/>
      <c r="BD78" s="0"/>
      <c r="BE78" s="0"/>
      <c r="BF78" s="0"/>
      <c r="BG78" s="0"/>
      <c r="BH78" s="0"/>
      <c r="BI78" s="0"/>
      <c r="BJ78" s="0"/>
      <c r="BK78" s="54"/>
    </row>
    <row r="79" customFormat="false" ht="15" hidden="false" customHeight="false" outlineLevel="0" collapsed="false">
      <c r="BB79" s="0"/>
      <c r="BC79" s="0"/>
      <c r="BD79" s="0"/>
      <c r="BE79" s="0"/>
      <c r="BF79" s="0"/>
      <c r="BG79" s="0"/>
      <c r="BH79" s="0"/>
      <c r="BI79" s="0"/>
      <c r="BJ79" s="0"/>
      <c r="BK79" s="54"/>
    </row>
    <row r="80" customFormat="false" ht="15" hidden="false" customHeight="false" outlineLevel="0" collapsed="false">
      <c r="BB80" s="0"/>
      <c r="BC80" s="0"/>
      <c r="BD80" s="0"/>
      <c r="BE80" s="0"/>
      <c r="BF80" s="0"/>
      <c r="BG80" s="0"/>
      <c r="BH80" s="0"/>
      <c r="BI80" s="0"/>
      <c r="BJ80" s="0"/>
      <c r="BK80" s="54"/>
    </row>
    <row r="81" customFormat="false" ht="15" hidden="false" customHeight="false" outlineLevel="0" collapsed="false">
      <c r="BB81" s="0"/>
      <c r="BC81" s="0"/>
      <c r="BD81" s="0"/>
      <c r="BE81" s="0"/>
      <c r="BF81" s="0"/>
      <c r="BG81" s="0"/>
      <c r="BH81" s="0"/>
      <c r="BI81" s="0"/>
      <c r="BJ81" s="0"/>
      <c r="BK81" s="54"/>
    </row>
    <row r="82" customFormat="false" ht="15" hidden="false" customHeight="false" outlineLevel="0" collapsed="false">
      <c r="BB82" s="0"/>
      <c r="BC82" s="0"/>
      <c r="BD82" s="0"/>
      <c r="BE82" s="0"/>
      <c r="BF82" s="0"/>
      <c r="BG82" s="0"/>
      <c r="BH82" s="0"/>
      <c r="BI82" s="0"/>
      <c r="BJ82" s="0"/>
      <c r="BK82" s="54"/>
    </row>
    <row r="83" customFormat="false" ht="15" hidden="false" customHeight="false" outlineLevel="0" collapsed="false">
      <c r="BB83" s="0"/>
      <c r="BC83" s="0"/>
      <c r="BD83" s="0"/>
      <c r="BE83" s="0"/>
      <c r="BF83" s="0"/>
      <c r="BG83" s="0"/>
      <c r="BH83" s="0"/>
      <c r="BI83" s="0"/>
      <c r="BJ83" s="0"/>
      <c r="BK83" s="54"/>
    </row>
    <row r="84" customFormat="false" ht="15" hidden="false" customHeight="false" outlineLevel="0" collapsed="false">
      <c r="BB84" s="0"/>
      <c r="BC84" s="0"/>
      <c r="BD84" s="0"/>
      <c r="BE84" s="0"/>
      <c r="BF84" s="0"/>
      <c r="BG84" s="0"/>
      <c r="BH84" s="0"/>
      <c r="BI84" s="0"/>
      <c r="BJ84" s="0"/>
      <c r="BK84" s="54"/>
    </row>
    <row r="85" customFormat="false" ht="15" hidden="false" customHeight="false" outlineLevel="0" collapsed="false">
      <c r="BB85" s="0"/>
      <c r="BC85" s="0"/>
      <c r="BD85" s="0"/>
      <c r="BE85" s="0"/>
      <c r="BF85" s="0"/>
      <c r="BG85" s="0"/>
      <c r="BH85" s="0"/>
      <c r="BI85" s="0"/>
      <c r="BJ85" s="0"/>
      <c r="BK85" s="54"/>
    </row>
    <row r="86" customFormat="false" ht="15" hidden="false" customHeight="false" outlineLevel="0" collapsed="false">
      <c r="BB86" s="0"/>
      <c r="BC86" s="0"/>
      <c r="BD86" s="0"/>
      <c r="BE86" s="0"/>
      <c r="BF86" s="0"/>
      <c r="BG86" s="0"/>
      <c r="BH86" s="0"/>
      <c r="BI86" s="0"/>
      <c r="BJ86" s="0"/>
      <c r="BK86" s="54"/>
    </row>
    <row r="87" customFormat="false" ht="15" hidden="false" customHeight="false" outlineLevel="0" collapsed="false">
      <c r="BB87" s="0"/>
      <c r="BC87" s="0"/>
      <c r="BD87" s="0"/>
      <c r="BE87" s="0"/>
      <c r="BF87" s="0"/>
      <c r="BG87" s="0"/>
      <c r="BH87" s="0"/>
      <c r="BI87" s="0"/>
      <c r="BJ87" s="0"/>
      <c r="BK87" s="54"/>
    </row>
    <row r="88" customFormat="false" ht="15" hidden="false" customHeight="false" outlineLevel="0" collapsed="false">
      <c r="BB88" s="0"/>
      <c r="BC88" s="0"/>
      <c r="BD88" s="0"/>
      <c r="BE88" s="0"/>
      <c r="BF88" s="0"/>
      <c r="BG88" s="0"/>
      <c r="BH88" s="0"/>
      <c r="BI88" s="0"/>
      <c r="BJ88" s="0"/>
      <c r="BK88" s="54"/>
    </row>
    <row r="89" customFormat="false" ht="15" hidden="false" customHeight="false" outlineLevel="0" collapsed="false">
      <c r="BB89" s="0"/>
      <c r="BC89" s="0"/>
      <c r="BD89" s="0"/>
      <c r="BE89" s="0"/>
      <c r="BF89" s="0"/>
      <c r="BG89" s="0"/>
      <c r="BH89" s="0"/>
      <c r="BI89" s="0"/>
      <c r="BJ89" s="0"/>
      <c r="BK89" s="54"/>
    </row>
    <row r="90" customFormat="false" ht="15" hidden="false" customHeight="false" outlineLevel="0" collapsed="false">
      <c r="BB90" s="0"/>
      <c r="BC90" s="0"/>
      <c r="BD90" s="0"/>
      <c r="BE90" s="0"/>
      <c r="BF90" s="0"/>
      <c r="BG90" s="0"/>
      <c r="BH90" s="0"/>
      <c r="BI90" s="0"/>
      <c r="BJ90" s="0"/>
      <c r="BK90" s="54"/>
    </row>
    <row r="91" customFormat="false" ht="15" hidden="false" customHeight="false" outlineLevel="0" collapsed="false">
      <c r="BB91" s="0"/>
      <c r="BC91" s="0"/>
      <c r="BD91" s="0"/>
      <c r="BE91" s="0"/>
      <c r="BF91" s="0"/>
      <c r="BG91" s="0"/>
      <c r="BH91" s="0"/>
      <c r="BI91" s="0"/>
      <c r="BJ91" s="0"/>
      <c r="BK91" s="54"/>
    </row>
    <row r="92" customFormat="false" ht="15" hidden="false" customHeight="false" outlineLevel="0" collapsed="false">
      <c r="BB92" s="0"/>
      <c r="BC92" s="0"/>
      <c r="BD92" s="0"/>
      <c r="BE92" s="0"/>
      <c r="BF92" s="0"/>
      <c r="BG92" s="0"/>
      <c r="BH92" s="0"/>
      <c r="BI92" s="0"/>
      <c r="BJ92" s="0"/>
      <c r="BK92" s="54"/>
    </row>
    <row r="93" customFormat="false" ht="15" hidden="false" customHeight="false" outlineLevel="0" collapsed="false">
      <c r="BB93" s="0"/>
      <c r="BC93" s="0"/>
      <c r="BD93" s="0"/>
      <c r="BE93" s="0"/>
      <c r="BF93" s="0"/>
      <c r="BG93" s="0"/>
      <c r="BH93" s="0"/>
      <c r="BI93" s="0"/>
      <c r="BJ93" s="0"/>
      <c r="BK93" s="54"/>
    </row>
    <row r="94" customFormat="false" ht="15" hidden="false" customHeight="false" outlineLevel="0" collapsed="false">
      <c r="BB94" s="0"/>
      <c r="BC94" s="0"/>
      <c r="BD94" s="0"/>
      <c r="BE94" s="0"/>
      <c r="BF94" s="0"/>
      <c r="BG94" s="0"/>
      <c r="BH94" s="0"/>
      <c r="BI94" s="0"/>
      <c r="BJ94" s="0"/>
      <c r="BK94" s="54"/>
    </row>
    <row r="95" customFormat="false" ht="15" hidden="false" customHeight="false" outlineLevel="0" collapsed="false">
      <c r="BB95" s="0"/>
      <c r="BC95" s="0"/>
      <c r="BD95" s="0"/>
      <c r="BE95" s="0"/>
      <c r="BF95" s="0"/>
      <c r="BG95" s="0"/>
      <c r="BH95" s="0"/>
      <c r="BI95" s="0"/>
      <c r="BJ95" s="0"/>
      <c r="BK95" s="54"/>
    </row>
    <row r="96" customFormat="false" ht="15" hidden="false" customHeight="false" outlineLevel="0" collapsed="false">
      <c r="BB96" s="0"/>
      <c r="BC96" s="0"/>
      <c r="BD96" s="0"/>
      <c r="BE96" s="0"/>
      <c r="BF96" s="0"/>
      <c r="BG96" s="0"/>
      <c r="BH96" s="0"/>
      <c r="BI96" s="0"/>
      <c r="BJ96" s="0"/>
      <c r="BK96" s="54"/>
    </row>
    <row r="97" customFormat="false" ht="15" hidden="false" customHeight="false" outlineLevel="0" collapsed="false">
      <c r="BB97" s="0"/>
      <c r="BC97" s="0"/>
      <c r="BD97" s="0"/>
      <c r="BE97" s="0"/>
      <c r="BF97" s="0"/>
      <c r="BG97" s="0"/>
      <c r="BH97" s="0"/>
      <c r="BI97" s="0"/>
      <c r="BJ97" s="0"/>
      <c r="BK97" s="54"/>
    </row>
    <row r="98" customFormat="false" ht="15" hidden="false" customHeight="false" outlineLevel="0" collapsed="false">
      <c r="BB98" s="0"/>
      <c r="BC98" s="0"/>
      <c r="BD98" s="0"/>
      <c r="BE98" s="0"/>
      <c r="BF98" s="0"/>
      <c r="BG98" s="0"/>
      <c r="BH98" s="0"/>
      <c r="BI98" s="0"/>
      <c r="BJ98" s="0"/>
      <c r="BK98" s="54"/>
    </row>
    <row r="99" customFormat="false" ht="15" hidden="false" customHeight="false" outlineLevel="0" collapsed="false">
      <c r="BB99" s="0"/>
      <c r="BC99" s="0"/>
      <c r="BD99" s="0"/>
      <c r="BE99" s="0"/>
      <c r="BF99" s="0"/>
      <c r="BG99" s="0"/>
      <c r="BH99" s="0"/>
      <c r="BI99" s="0"/>
      <c r="BJ99" s="0"/>
      <c r="BK99" s="54"/>
    </row>
    <row r="100" customFormat="false" ht="15" hidden="false" customHeight="false" outlineLevel="0" collapsed="false">
      <c r="BB100" s="12"/>
      <c r="BC100" s="12"/>
      <c r="BD100" s="12"/>
      <c r="BE100" s="24"/>
      <c r="BF100" s="10"/>
      <c r="BG100" s="18"/>
      <c r="BH100" s="56"/>
      <c r="BI100" s="56"/>
      <c r="BJ100" s="57"/>
      <c r="BK100" s="30"/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32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E3" activeCellId="0" sqref="E3"/>
    </sheetView>
  </sheetViews>
  <sheetFormatPr defaultColWidth="9.625" defaultRowHeight="15" zeroHeight="false" outlineLevelRow="0" outlineLevelCol="0"/>
  <cols>
    <col collapsed="false" customWidth="true" hidden="false" outlineLevel="0" max="2" min="2" style="58" width="6.46"/>
    <col collapsed="false" customWidth="true" hidden="false" outlineLevel="0" max="3" min="3" style="58" width="8.04"/>
    <col collapsed="false" customWidth="true" hidden="false" outlineLevel="0" max="4" min="4" style="0" width="6.46"/>
    <col collapsed="false" customWidth="true" hidden="false" outlineLevel="0" max="5" min="5" style="0" width="8.9"/>
    <col collapsed="false" customWidth="true" hidden="false" outlineLevel="0" max="6" min="6" style="0" width="8.16"/>
    <col collapsed="false" customWidth="true" hidden="false" outlineLevel="0" max="7" min="7" style="59" width="10.23"/>
    <col collapsed="false" customWidth="true" hidden="false" outlineLevel="0" max="8" min="8" style="12" width="7.8"/>
    <col collapsed="false" customWidth="true" hidden="false" outlineLevel="0" max="9" min="9" style="12" width="8.16"/>
  </cols>
  <sheetData>
    <row r="1" customFormat="false" ht="15" hidden="false" customHeight="false" outlineLevel="0" collapsed="false">
      <c r="A1" s="60" t="str">
        <f aca="false">calc!$C$1</f>
        <v>UT</v>
      </c>
      <c r="B1" s="60" t="str">
        <f aca="false">calc!$D$1</f>
        <v>Date</v>
      </c>
      <c r="C1" s="60" t="str">
        <f aca="false">calc!$E$1</f>
        <v>Month</v>
      </c>
      <c r="D1" s="55" t="s">
        <v>79</v>
      </c>
      <c r="E1" s="60" t="str">
        <f aca="false">input!$D$1</f>
        <v>Year</v>
      </c>
      <c r="F1" s="60" t="str">
        <f aca="false">input!$E$1</f>
        <v>Lat.</v>
      </c>
      <c r="G1" s="61" t="str">
        <f aca="false">calc!$I$1</f>
        <v>elevRefr</v>
      </c>
      <c r="H1" s="55" t="str">
        <f aca="false">calc!$K$1</f>
        <v>az</v>
      </c>
      <c r="I1" s="55" t="str">
        <f aca="false">calc!$J$1</f>
        <v>ill frac</v>
      </c>
    </row>
    <row r="2" customFormat="false" ht="15" hidden="false" customHeight="false" outlineLevel="0" collapsed="false">
      <c r="A2" s="62" t="n">
        <f aca="false">calc!$C$2</f>
        <v>0</v>
      </c>
      <c r="B2" s="58" t="n">
        <f aca="false">calc!$D$2</f>
        <v>1</v>
      </c>
      <c r="C2" s="63" t="n">
        <f aca="false">calc!$E$2</f>
        <v>10</v>
      </c>
      <c r="D2" s="12" t="n">
        <v>1</v>
      </c>
      <c r="E2" s="60" t="n">
        <f aca="false">input!$D$2</f>
        <v>2022</v>
      </c>
      <c r="F2" s="60" t="n">
        <f aca="false">input!$E$2</f>
        <v>-23</v>
      </c>
      <c r="G2" s="64" t="n">
        <f aca="false">calc!$I$2</f>
        <v>-15.8570727688493</v>
      </c>
      <c r="H2" s="65" t="n">
        <f aca="false">calc!$K$2</f>
        <v>234.546147481958</v>
      </c>
      <c r="I2" s="10" t="n">
        <f aca="false">calc!$J$2</f>
        <v>28.0287694159073</v>
      </c>
    </row>
    <row r="3" customFormat="false" ht="15" hidden="false" customHeight="false" outlineLevel="0" collapsed="false">
      <c r="B3" s="58" t="n">
        <f aca="false">calc!$D$3</f>
        <v>2</v>
      </c>
      <c r="C3" s="63" t="n">
        <f aca="false">calc!$E$3</f>
        <v>10</v>
      </c>
      <c r="D3" s="12" t="n">
        <v>2</v>
      </c>
      <c r="E3" s="66" t="str">
        <f aca="false">calc!$G$9</f>
        <v>common year</v>
      </c>
      <c r="G3" s="64" t="n">
        <f aca="false">calc!$I$3</f>
        <v>-3.26311632014312</v>
      </c>
      <c r="H3" s="65" t="n">
        <f aca="false">calc!$K$3</f>
        <v>239.330572994835</v>
      </c>
      <c r="I3" s="10" t="n">
        <f aca="false">calc!$J$3</f>
        <v>38.7136033976445</v>
      </c>
    </row>
    <row r="4" customFormat="false" ht="15" hidden="false" customHeight="false" outlineLevel="0" collapsed="false">
      <c r="B4" s="58" t="n">
        <f aca="false">calc!$D$4</f>
        <v>3</v>
      </c>
      <c r="C4" s="63" t="n">
        <f aca="false">calc!$E$4</f>
        <v>10</v>
      </c>
      <c r="D4" s="12" t="n">
        <v>3</v>
      </c>
      <c r="F4" s="60" t="str">
        <f aca="false">input!$F$1</f>
        <v>Long.</v>
      </c>
      <c r="G4" s="64" t="n">
        <f aca="false">calc!$I$4</f>
        <v>8.81471548400579</v>
      </c>
      <c r="H4" s="65" t="n">
        <f aca="false">calc!$K$4</f>
        <v>244.249552253653</v>
      </c>
      <c r="I4" s="10" t="n">
        <f aca="false">calc!$J$4</f>
        <v>50.0446533889929</v>
      </c>
    </row>
    <row r="5" customFormat="false" ht="15" hidden="false" customHeight="false" outlineLevel="0" collapsed="false">
      <c r="B5" s="58" t="n">
        <f aca="false">calc!$D$5</f>
        <v>4</v>
      </c>
      <c r="C5" s="63" t="n">
        <f aca="false">calc!$E$5</f>
        <v>10</v>
      </c>
      <c r="D5" s="12" t="n">
        <v>4</v>
      </c>
      <c r="F5" s="60" t="n">
        <f aca="false">input!$F$2</f>
        <v>0</v>
      </c>
      <c r="G5" s="64" t="n">
        <f aca="false">calc!$I$5</f>
        <v>20.9814752422557</v>
      </c>
      <c r="H5" s="65" t="n">
        <f aca="false">calc!$K$5</f>
        <v>249.784727109933</v>
      </c>
      <c r="I5" s="10" t="n">
        <f aca="false">calc!$J$5</f>
        <v>61.4198260436843</v>
      </c>
    </row>
    <row r="6" customFormat="false" ht="15" hidden="false" customHeight="false" outlineLevel="0" collapsed="false">
      <c r="B6" s="58" t="n">
        <f aca="false">calc!$D$6</f>
        <v>5</v>
      </c>
      <c r="C6" s="63" t="n">
        <f aca="false">calc!$E$6</f>
        <v>10</v>
      </c>
      <c r="D6" s="12" t="n">
        <v>5</v>
      </c>
      <c r="G6" s="64" t="n">
        <f aca="false">calc!$I$6</f>
        <v>32.9498929320185</v>
      </c>
      <c r="H6" s="65" t="n">
        <f aca="false">calc!$K$6</f>
        <v>256.598340810084</v>
      </c>
      <c r="I6" s="10" t="n">
        <f aca="false">calc!$J$6</f>
        <v>72.221365073845</v>
      </c>
    </row>
    <row r="7" customFormat="false" ht="15" hidden="false" customHeight="false" outlineLevel="0" collapsed="false">
      <c r="B7" s="58" t="n">
        <f aca="false">calc!$D$7</f>
        <v>6</v>
      </c>
      <c r="C7" s="63" t="n">
        <f aca="false">calc!$E$7</f>
        <v>10</v>
      </c>
      <c r="D7" s="12" t="n">
        <v>6</v>
      </c>
      <c r="G7" s="64" t="n">
        <f aca="false">calc!$I$7</f>
        <v>44.3669984182121</v>
      </c>
      <c r="H7" s="65" t="n">
        <f aca="false">calc!$K$7</f>
        <v>265.805606710656</v>
      </c>
      <c r="I7" s="10" t="n">
        <f aca="false">calc!$J$7</f>
        <v>81.8519842497529</v>
      </c>
    </row>
    <row r="8" customFormat="false" ht="15" hidden="false" customHeight="false" outlineLevel="0" collapsed="false">
      <c r="B8" s="58" t="n">
        <f aca="false">calc!$D$8</f>
        <v>7</v>
      </c>
      <c r="C8" s="63" t="n">
        <f aca="false">calc!$E$8</f>
        <v>10</v>
      </c>
      <c r="D8" s="12" t="n">
        <v>7</v>
      </c>
      <c r="G8" s="64" t="n">
        <f aca="false">calc!$I$8</f>
        <v>54.5731824611641</v>
      </c>
      <c r="H8" s="65" t="n">
        <f aca="false">calc!$K$8</f>
        <v>279.452443101673</v>
      </c>
      <c r="I8" s="10" t="n">
        <f aca="false">calc!$J$8</f>
        <v>89.7782623682179</v>
      </c>
    </row>
    <row r="9" customFormat="false" ht="15" hidden="false" customHeight="false" outlineLevel="0" collapsed="false">
      <c r="B9" s="58" t="n">
        <f aca="false">calc!$D$9</f>
        <v>8</v>
      </c>
      <c r="C9" s="63" t="n">
        <f aca="false">calc!$E$9</f>
        <v>10</v>
      </c>
      <c r="D9" s="12" t="n">
        <v>8</v>
      </c>
      <c r="G9" s="64" t="n">
        <f aca="false">calc!$I$9</f>
        <v>62.1735413055554</v>
      </c>
      <c r="H9" s="65" t="n">
        <f aca="false">calc!$K$9</f>
        <v>300.728935812199</v>
      </c>
      <c r="I9" s="10" t="n">
        <f aca="false">calc!$J$9</f>
        <v>95.5798680496168</v>
      </c>
    </row>
    <row r="10" customFormat="false" ht="15" hidden="false" customHeight="false" outlineLevel="0" collapsed="false">
      <c r="B10" s="58" t="n">
        <f aca="false">calc!$D$10</f>
        <v>9</v>
      </c>
      <c r="C10" s="63" t="n">
        <f aca="false">calc!$E$10</f>
        <v>10</v>
      </c>
      <c r="D10" s="12" t="n">
        <v>9</v>
      </c>
      <c r="G10" s="64" t="n">
        <f aca="false">calc!$I$10</f>
        <v>64.8365908863673</v>
      </c>
      <c r="H10" s="65" t="n">
        <f aca="false">calc!$K$10</f>
        <v>330.102094016074</v>
      </c>
      <c r="I10" s="10" t="n">
        <f aca="false">calc!$J$10</f>
        <v>98.9944690907124</v>
      </c>
    </row>
    <row r="11" customFormat="false" ht="15" hidden="false" customHeight="false" outlineLevel="0" collapsed="false">
      <c r="B11" s="58" t="n">
        <f aca="false">calc!$D$11</f>
        <v>10</v>
      </c>
      <c r="C11" s="63" t="n">
        <f aca="false">calc!$E$11</f>
        <v>10</v>
      </c>
      <c r="D11" s="12" t="n">
        <v>10</v>
      </c>
      <c r="G11" s="64" t="n">
        <f aca="false">calc!$I$11</f>
        <v>61.4405775260854</v>
      </c>
      <c r="H11" s="65" t="n">
        <f aca="false">calc!$K$11</f>
        <v>358.155983579246</v>
      </c>
      <c r="I11" s="10" t="n">
        <f aca="false">calc!$J$11</f>
        <v>99.943025191732</v>
      </c>
    </row>
    <row r="12" customFormat="false" ht="15" hidden="false" customHeight="false" outlineLevel="0" collapsed="false">
      <c r="B12" s="58" t="n">
        <f aca="false">calc!$D$12</f>
        <v>11</v>
      </c>
      <c r="C12" s="63" t="n">
        <f aca="false">calc!$E$12</f>
        <v>10</v>
      </c>
      <c r="D12" s="12" t="n">
        <v>11</v>
      </c>
      <c r="G12" s="64" t="n">
        <f aca="false">calc!$I$12</f>
        <v>53.9773728073346</v>
      </c>
      <c r="H12" s="65" t="n">
        <f aca="false">calc!$K$12</f>
        <v>17.5553912850312</v>
      </c>
      <c r="I12" s="10" t="n">
        <f aca="false">calc!$J$12</f>
        <v>98.523725040842</v>
      </c>
    </row>
    <row r="13" customFormat="false" ht="15" hidden="false" customHeight="false" outlineLevel="0" collapsed="false">
      <c r="B13" s="58" t="n">
        <f aca="false">calc!$D$13</f>
        <v>12</v>
      </c>
      <c r="C13" s="63" t="n">
        <f aca="false">calc!$E$13</f>
        <v>10</v>
      </c>
      <c r="D13" s="12" t="n">
        <v>12</v>
      </c>
      <c r="G13" s="64" t="n">
        <f aca="false">calc!$I$13</f>
        <v>44.7200096686689</v>
      </c>
      <c r="H13" s="65" t="n">
        <f aca="false">calc!$K$13</f>
        <v>30.160904529589</v>
      </c>
      <c r="I13" s="10" t="n">
        <f aca="false">calc!$J$13</f>
        <v>94.9746420151646</v>
      </c>
    </row>
    <row r="14" customFormat="false" ht="15" hidden="false" customHeight="false" outlineLevel="0" collapsed="false">
      <c r="B14" s="58" t="n">
        <f aca="false">calc!$D$14</f>
        <v>13</v>
      </c>
      <c r="C14" s="63" t="n">
        <f aca="false">calc!$E$14</f>
        <v>10</v>
      </c>
      <c r="D14" s="12" t="n">
        <v>13</v>
      </c>
      <c r="G14" s="64" t="n">
        <f aca="false">calc!$I$14</f>
        <v>34.8294718658468</v>
      </c>
      <c r="H14" s="65" t="n">
        <f aca="false">calc!$K$14</f>
        <v>38.9829027318452</v>
      </c>
      <c r="I14" s="10" t="n">
        <f aca="false">calc!$J$14</f>
        <v>89.6182473792447</v>
      </c>
    </row>
    <row r="15" customFormat="false" ht="15" hidden="false" customHeight="false" outlineLevel="0" collapsed="false">
      <c r="B15" s="58" t="n">
        <f aca="false">calc!$D$15</f>
        <v>14</v>
      </c>
      <c r="C15" s="63" t="n">
        <f aca="false">calc!$E$15</f>
        <v>10</v>
      </c>
      <c r="D15" s="12" t="n">
        <v>14</v>
      </c>
      <c r="G15" s="64" t="n">
        <f aca="false">calc!$I$15</f>
        <v>24.801029387157</v>
      </c>
      <c r="H15" s="65" t="n">
        <f aca="false">calc!$K$15</f>
        <v>45.7990333249298</v>
      </c>
      <c r="I15" s="10" t="n">
        <f aca="false">calc!$J$15</f>
        <v>82.8068577317346</v>
      </c>
    </row>
    <row r="16" customFormat="false" ht="15" hidden="false" customHeight="false" outlineLevel="0" collapsed="false">
      <c r="B16" s="58" t="n">
        <f aca="false">calc!$D$16</f>
        <v>15</v>
      </c>
      <c r="C16" s="63" t="n">
        <f aca="false">calc!$E$16</f>
        <v>10</v>
      </c>
      <c r="D16" s="12" t="n">
        <v>15</v>
      </c>
      <c r="G16" s="64" t="n">
        <f aca="false">calc!$I$16</f>
        <v>14.845112942005</v>
      </c>
      <c r="H16" s="65" t="n">
        <f aca="false">calc!$K$16</f>
        <v>51.573148802871</v>
      </c>
      <c r="I16" s="10" t="n">
        <f aca="false">calc!$J$16</f>
        <v>74.8840389357587</v>
      </c>
    </row>
    <row r="17" customFormat="false" ht="15" hidden="false" customHeight="false" outlineLevel="0" collapsed="false">
      <c r="B17" s="58" t="n">
        <f aca="false">calc!$D$17</f>
        <v>16</v>
      </c>
      <c r="C17" s="63" t="n">
        <f aca="false">calc!$E$17</f>
        <v>10</v>
      </c>
      <c r="D17" s="12" t="n">
        <v>16</v>
      </c>
      <c r="G17" s="64" t="n">
        <f aca="false">calc!$I$17</f>
        <v>5.09828589506565</v>
      </c>
      <c r="H17" s="65" t="n">
        <f aca="false">calc!$K$17</f>
        <v>56.8752173924366</v>
      </c>
      <c r="I17" s="10" t="n">
        <f aca="false">calc!$J$17</f>
        <v>66.1671592461193</v>
      </c>
    </row>
    <row r="18" customFormat="false" ht="15" hidden="false" customHeight="false" outlineLevel="0" collapsed="false">
      <c r="B18" s="58" t="n">
        <f aca="false">calc!$D$18</f>
        <v>17</v>
      </c>
      <c r="C18" s="63" t="n">
        <f aca="false">calc!$E$18</f>
        <v>10</v>
      </c>
      <c r="D18" s="12" t="n">
        <v>17</v>
      </c>
      <c r="G18" s="64" t="n">
        <f aca="false">calc!$I$18</f>
        <v>-4.71603265542886</v>
      </c>
      <c r="H18" s="65" t="n">
        <f aca="false">calc!$K$18</f>
        <v>62.100955414123</v>
      </c>
      <c r="I18" s="10" t="n">
        <f aca="false">calc!$J$18</f>
        <v>56.947413270073</v>
      </c>
    </row>
    <row r="19" customFormat="false" ht="15" hidden="false" customHeight="false" outlineLevel="0" collapsed="false">
      <c r="B19" s="58" t="n">
        <f aca="false">calc!$D$19</f>
        <v>18</v>
      </c>
      <c r="C19" s="63" t="n">
        <f aca="false">calc!$E$19</f>
        <v>10</v>
      </c>
      <c r="D19" s="12" t="n">
        <v>18</v>
      </c>
      <c r="G19" s="64" t="n">
        <f aca="false">calc!$I$19</f>
        <v>-14.335204479944</v>
      </c>
      <c r="H19" s="65" t="n">
        <f aca="false">calc!$K$19</f>
        <v>67.5912540957175</v>
      </c>
      <c r="I19" s="10" t="n">
        <f aca="false">calc!$J$19</f>
        <v>47.4997903903907</v>
      </c>
    </row>
    <row r="20" customFormat="false" ht="15" hidden="false" customHeight="false" outlineLevel="0" collapsed="false">
      <c r="B20" s="58" t="n">
        <f aca="false">calc!$D$20</f>
        <v>19</v>
      </c>
      <c r="C20" s="63" t="n">
        <f aca="false">calc!$E$20</f>
        <v>10</v>
      </c>
      <c r="D20" s="12" t="n">
        <v>19</v>
      </c>
      <c r="G20" s="64" t="n">
        <f aca="false">calc!$I$20</f>
        <v>-23.6332316645455</v>
      </c>
      <c r="H20" s="65" t="n">
        <f aca="false">calc!$K$20</f>
        <v>73.716977263822</v>
      </c>
      <c r="I20" s="10" t="n">
        <f aca="false">calc!$J$20</f>
        <v>38.0964804806823</v>
      </c>
    </row>
    <row r="21" customFormat="false" ht="15" hidden="false" customHeight="false" outlineLevel="0" collapsed="false">
      <c r="B21" s="58" t="n">
        <f aca="false">calc!$D$21</f>
        <v>20</v>
      </c>
      <c r="C21" s="63" t="n">
        <f aca="false">calc!$E$21</f>
        <v>10</v>
      </c>
      <c r="D21" s="12" t="n">
        <v>20</v>
      </c>
      <c r="G21" s="64" t="n">
        <f aca="false">calc!$I$21</f>
        <v>-32.669297760477</v>
      </c>
      <c r="H21" s="65" t="n">
        <f aca="false">calc!$K$21</f>
        <v>80.9671893258475</v>
      </c>
      <c r="I21" s="10" t="n">
        <f aca="false">calc!$J$21</f>
        <v>29.0203117930434</v>
      </c>
    </row>
    <row r="22" customFormat="false" ht="15" hidden="false" customHeight="false" outlineLevel="0" collapsed="false">
      <c r="B22" s="58" t="n">
        <f aca="false">calc!$D$22</f>
        <v>21</v>
      </c>
      <c r="C22" s="63" t="n">
        <f aca="false">calc!$E$22</f>
        <v>10</v>
      </c>
      <c r="D22" s="12" t="n">
        <v>21</v>
      </c>
      <c r="G22" s="64" t="n">
        <f aca="false">calc!$I$22</f>
        <v>-41.2579149052841</v>
      </c>
      <c r="H22" s="65" t="n">
        <f aca="false">calc!$K$22</f>
        <v>90.0669059391422</v>
      </c>
      <c r="I22" s="10" t="n">
        <f aca="false">calc!$J$22</f>
        <v>20.5769275893239</v>
      </c>
    </row>
    <row r="23" customFormat="false" ht="15" hidden="false" customHeight="false" outlineLevel="0" collapsed="false">
      <c r="B23" s="58" t="n">
        <f aca="false">calc!$D$23</f>
        <v>22</v>
      </c>
      <c r="C23" s="63" t="n">
        <f aca="false">calc!$E$23</f>
        <v>10</v>
      </c>
      <c r="D23" s="12" t="n">
        <v>22</v>
      </c>
      <c r="G23" s="64" t="n">
        <f aca="false">calc!$I$23</f>
        <v>-49.0156030545642</v>
      </c>
      <c r="H23" s="65" t="n">
        <f aca="false">calc!$K$23</f>
        <v>102.115068328161</v>
      </c>
      <c r="I23" s="10" t="n">
        <f aca="false">calc!$J$23</f>
        <v>13.1038362137731</v>
      </c>
    </row>
    <row r="24" customFormat="false" ht="15" hidden="false" customHeight="false" outlineLevel="0" collapsed="false">
      <c r="B24" s="58" t="n">
        <f aca="false">calc!$D$24</f>
        <v>23</v>
      </c>
      <c r="C24" s="63" t="n">
        <f aca="false">calc!$E$24</f>
        <v>10</v>
      </c>
      <c r="D24" s="12" t="n">
        <v>23</v>
      </c>
      <c r="G24" s="64" t="n">
        <f aca="false">calc!$I$24</f>
        <v>-55.189125482285</v>
      </c>
      <c r="H24" s="65" t="n">
        <f aca="false">calc!$K$24</f>
        <v>118.525852439363</v>
      </c>
      <c r="I24" s="10" t="n">
        <f aca="false">calc!$J$24</f>
        <v>6.97163271317972</v>
      </c>
    </row>
    <row r="25" customFormat="false" ht="15" hidden="false" customHeight="false" outlineLevel="0" collapsed="false">
      <c r="B25" s="58" t="n">
        <f aca="false">calc!$D$25</f>
        <v>24</v>
      </c>
      <c r="C25" s="63" t="n">
        <f aca="false">calc!$E$25</f>
        <v>10</v>
      </c>
      <c r="D25" s="12" t="n">
        <v>24</v>
      </c>
      <c r="G25" s="64" t="n">
        <f aca="false">calc!$I$25</f>
        <v>-58.5454001534813</v>
      </c>
      <c r="H25" s="65" t="n">
        <f aca="false">calc!$K$25</f>
        <v>139.91892414659</v>
      </c>
      <c r="I25" s="10" t="n">
        <f aca="false">calc!$J$25</f>
        <v>2.57000128510639</v>
      </c>
    </row>
    <row r="26" customFormat="false" ht="15" hidden="false" customHeight="false" outlineLevel="0" collapsed="false">
      <c r="B26" s="58" t="n">
        <f aca="false">calc!$D$26</f>
        <v>25</v>
      </c>
      <c r="C26" s="63" t="n">
        <f aca="false">calc!$E$26</f>
        <v>10</v>
      </c>
      <c r="D26" s="12" t="n">
        <v>25</v>
      </c>
      <c r="G26" s="64" t="n">
        <f aca="false">calc!$I$26</f>
        <v>-57.8756532200562</v>
      </c>
      <c r="H26" s="65" t="n">
        <f aca="false">calc!$K$26</f>
        <v>163.627396015451</v>
      </c>
      <c r="I26" s="10" t="n">
        <f aca="false">calc!$J$26</f>
        <v>0.271999294278513</v>
      </c>
    </row>
    <row r="27" customFormat="false" ht="15" hidden="false" customHeight="false" outlineLevel="0" collapsed="false">
      <c r="B27" s="58" t="n">
        <f aca="false">calc!$D$27</f>
        <v>26</v>
      </c>
      <c r="C27" s="63" t="n">
        <f aca="false">calc!$E$27</f>
        <v>10</v>
      </c>
      <c r="D27" s="12" t="n">
        <v>26</v>
      </c>
      <c r="G27" s="64" t="n">
        <f aca="false">calc!$I$27</f>
        <v>-53.1502282574318</v>
      </c>
      <c r="H27" s="65" t="n">
        <f aca="false">calc!$K$27</f>
        <v>184.677688454351</v>
      </c>
      <c r="I27" s="10" t="n">
        <f aca="false">calc!$J$27</f>
        <v>0.37705190600259</v>
      </c>
    </row>
    <row r="28" customFormat="false" ht="15" hidden="false" customHeight="false" outlineLevel="0" collapsed="false">
      <c r="B28" s="58" t="n">
        <f aca="false">calc!$D$28</f>
        <v>27</v>
      </c>
      <c r="C28" s="63" t="n">
        <f aca="false">calc!$E$28</f>
        <v>10</v>
      </c>
      <c r="D28" s="12" t="n">
        <v>27</v>
      </c>
      <c r="G28" s="64" t="n">
        <f aca="false">calc!$I$28</f>
        <v>-45.4949412390404</v>
      </c>
      <c r="H28" s="65" t="n">
        <f aca="false">calc!$K$28</f>
        <v>200.927241679011</v>
      </c>
      <c r="I28" s="10" t="n">
        <f aca="false">calc!$J$28</f>
        <v>3.04478614751538</v>
      </c>
    </row>
    <row r="29" customFormat="false" ht="15" hidden="false" customHeight="false" outlineLevel="0" collapsed="false">
      <c r="B29" s="58" t="n">
        <f aca="false">calc!$D$29</f>
        <v>28</v>
      </c>
      <c r="C29" s="63" t="n">
        <f aca="false">calc!$E$29</f>
        <v>10</v>
      </c>
      <c r="D29" s="12" t="n">
        <v>28</v>
      </c>
      <c r="G29" s="64" t="n">
        <f aca="false">calc!$I$29</f>
        <v>-36.0961824583314</v>
      </c>
      <c r="H29" s="65" t="n">
        <f aca="false">calc!$K$29</f>
        <v>213.247705256465</v>
      </c>
      <c r="I29" s="10" t="n">
        <f aca="false">calc!$J$29</f>
        <v>8.24183592312381</v>
      </c>
    </row>
    <row r="30" customFormat="false" ht="15" hidden="false" customHeight="false" outlineLevel="0" collapsed="false">
      <c r="B30" s="58" t="n">
        <f aca="false">calc!$D$30</f>
        <v>29</v>
      </c>
      <c r="C30" s="58" t="n">
        <f aca="false">calc!$E$30</f>
        <v>10</v>
      </c>
      <c r="D30" s="12" t="n">
        <v>29</v>
      </c>
      <c r="G30" s="64" t="n">
        <f aca="false">calc!$I$30</f>
        <v>-25.7553180009387</v>
      </c>
      <c r="H30" s="65" t="n">
        <f aca="false">calc!$K$30</f>
        <v>223.074368183853</v>
      </c>
      <c r="I30" s="10" t="n">
        <f aca="false">calc!$J$30</f>
        <v>15.7235003278359</v>
      </c>
    </row>
    <row r="31" customFormat="false" ht="15" hidden="false" customHeight="false" outlineLevel="0" collapsed="false">
      <c r="B31" s="58" t="n">
        <f aca="false">calc!$D$31</f>
        <v>30</v>
      </c>
      <c r="C31" s="58" t="n">
        <f aca="false">calc!$E$31</f>
        <v>10</v>
      </c>
      <c r="D31" s="12" t="n">
        <v>30</v>
      </c>
      <c r="G31" s="64" t="n">
        <f aca="false">calc!$I$31</f>
        <v>-14.9756820337465</v>
      </c>
      <c r="H31" s="65" t="n">
        <f aca="false">calc!$K$31</f>
        <v>231.506237660678</v>
      </c>
      <c r="I31" s="10" t="n">
        <f aca="false">calc!$J$31</f>
        <v>25.0586649330188</v>
      </c>
    </row>
    <row r="32" customFormat="false" ht="15" hidden="false" customHeight="false" outlineLevel="0" collapsed="false">
      <c r="B32" s="58" t="n">
        <f aca="false">calc!$D$32</f>
        <v>31</v>
      </c>
      <c r="C32" s="58" t="n">
        <f aca="false">calc!$E$32</f>
        <v>10</v>
      </c>
      <c r="D32" s="12" t="n">
        <v>31</v>
      </c>
      <c r="G32" s="64" t="n">
        <f aca="false">calc!$I$32</f>
        <v>-3.79554522839494</v>
      </c>
      <c r="H32" s="65" t="n">
        <f aca="false">calc!$K$32</f>
        <v>239.310506045274</v>
      </c>
      <c r="I32" s="10" t="n">
        <f aca="false">calc!$J$32</f>
        <v>35.6872939988236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34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G38" activeCellId="0" sqref="G38"/>
    </sheetView>
  </sheetViews>
  <sheetFormatPr defaultColWidth="9.625" defaultRowHeight="15" zeroHeight="false" outlineLevelRow="0" outlineLevelCol="0"/>
  <cols>
    <col collapsed="false" customWidth="false" hidden="false" outlineLevel="0" max="1" min="1" style="58" width="9.63"/>
    <col collapsed="false" customWidth="true" hidden="false" outlineLevel="0" max="7" min="7" style="12" width="8.64"/>
    <col collapsed="false" customWidth="true" hidden="false" outlineLevel="0" max="8" min="8" style="12" width="8.29"/>
    <col collapsed="false" customWidth="true" hidden="false" outlineLevel="0" max="9" min="9" style="0" width="8.16"/>
    <col collapsed="false" customWidth="false" hidden="false" outlineLevel="0" max="10" min="10" style="58" width="9.63"/>
    <col collapsed="false" customWidth="false" hidden="false" outlineLevel="0" max="11" min="11" style="59" width="9.63"/>
    <col collapsed="false" customWidth="true" hidden="false" outlineLevel="0" max="12" min="12" style="12" width="12.06"/>
    <col collapsed="false" customWidth="false" hidden="false" outlineLevel="0" max="13" min="13" style="67" width="9.63"/>
    <col collapsed="false" customWidth="true" hidden="false" outlineLevel="0" max="15" min="15" style="10" width="13.77"/>
  </cols>
  <sheetData>
    <row r="1" customFormat="false" ht="15" hidden="false" customHeight="false" outlineLevel="0" collapsed="false">
      <c r="A1" s="60" t="str">
        <f aca="false">calc!$C$1</f>
        <v>UT</v>
      </c>
      <c r="B1" s="60" t="str">
        <f aca="false">input!$C$1</f>
        <v>Month</v>
      </c>
      <c r="C1" s="60" t="str">
        <f aca="false">input!$D$1</f>
        <v>Year</v>
      </c>
      <c r="G1" s="55" t="str">
        <f aca="false">calc!$D$1</f>
        <v>Date</v>
      </c>
      <c r="H1" s="55" t="str">
        <f aca="false">calc!$E$1</f>
        <v>Month</v>
      </c>
      <c r="I1" s="55" t="s">
        <v>79</v>
      </c>
      <c r="J1" s="58" t="str">
        <f aca="false">calc!$AY$1</f>
        <v>R / km</v>
      </c>
      <c r="K1" s="61" t="str">
        <f aca="false">calc!$AG$1</f>
        <v>DEC</v>
      </c>
      <c r="L1" s="55" t="str">
        <f aca="false">calc!$AV$1</f>
        <v>diam/arcmin</v>
      </c>
      <c r="M1" s="61" t="s">
        <v>80</v>
      </c>
      <c r="N1" s="55" t="s">
        <v>81</v>
      </c>
      <c r="O1" s="10" t="s">
        <v>82</v>
      </c>
    </row>
    <row r="2" customFormat="false" ht="15" hidden="false" customHeight="false" outlineLevel="0" collapsed="false">
      <c r="A2" s="62" t="n">
        <f aca="false">calc!$C$2</f>
        <v>0</v>
      </c>
      <c r="B2" s="60" t="n">
        <f aca="false">input!$C$2</f>
        <v>10</v>
      </c>
      <c r="C2" s="60" t="n">
        <f aca="false">input!$D$2</f>
        <v>2022</v>
      </c>
      <c r="G2" s="12" t="n">
        <f aca="false">calc!$D$2</f>
        <v>1</v>
      </c>
      <c r="H2" s="17" t="n">
        <f aca="false">calc!$E$2</f>
        <v>10</v>
      </c>
      <c r="I2" s="12" t="n">
        <v>1</v>
      </c>
      <c r="J2" s="68" t="n">
        <f aca="false">calc!$AY$2</f>
        <v>372864.071469498</v>
      </c>
      <c r="K2" s="21" t="n">
        <f aca="false">calc!$AG$2</f>
        <v>-24.5776321264866</v>
      </c>
      <c r="L2" s="29" t="n">
        <f aca="false">calc!$AV$2</f>
        <v>31.8859859236292</v>
      </c>
      <c r="M2" s="69" t="n">
        <f aca="false">calc!$AH$2</f>
        <v>16.645762917233</v>
      </c>
      <c r="N2" s="21" t="n">
        <f aca="false">M2*15</f>
        <v>249.686443758495</v>
      </c>
      <c r="O2" s="10" t="n">
        <f aca="false">24*ACOS(-TAN(input!$E$2*PI()/180)*TAN(K2*PI()/180))/PI()</f>
        <v>13.4925933575642</v>
      </c>
    </row>
    <row r="3" customFormat="false" ht="15" hidden="false" customHeight="false" outlineLevel="0" collapsed="false">
      <c r="A3" s="60"/>
      <c r="B3" s="60"/>
      <c r="C3" s="60"/>
      <c r="E3" s="60"/>
      <c r="F3" s="60"/>
      <c r="G3" s="12" t="n">
        <f aca="false">calc!$D$3</f>
        <v>2</v>
      </c>
      <c r="H3" s="17" t="n">
        <f aca="false">calc!$E$3</f>
        <v>10</v>
      </c>
      <c r="I3" s="12" t="n">
        <v>2</v>
      </c>
      <c r="J3" s="68" t="n">
        <f aca="false">calc!$AY$3</f>
        <v>371280.156240906</v>
      </c>
      <c r="K3" s="21" t="n">
        <f aca="false">calc!$AG$3</f>
        <v>-26.8326844736407</v>
      </c>
      <c r="L3" s="29" t="n">
        <f aca="false">calc!$AV$3</f>
        <v>32.1293362745784</v>
      </c>
      <c r="M3" s="69" t="n">
        <f aca="false">calc!$AH$3</f>
        <v>17.6697835600221</v>
      </c>
      <c r="N3" s="21" t="n">
        <f aca="false">M3*15</f>
        <v>265.046753400332</v>
      </c>
      <c r="O3" s="10" t="n">
        <f aca="false">24*ACOS(-TAN(input!$E$2*PI()/180)*TAN(K3*PI()/180))/PI()</f>
        <v>13.6532265415544</v>
      </c>
    </row>
    <row r="4" customFormat="false" ht="15" hidden="false" customHeight="false" outlineLevel="0" collapsed="false">
      <c r="A4" s="60"/>
      <c r="B4" s="60"/>
      <c r="C4" s="66" t="str">
        <f aca="false">'elev az illum'!$E$3</f>
        <v>common year</v>
      </c>
      <c r="E4" s="60"/>
      <c r="F4" s="60"/>
      <c r="G4" s="12" t="n">
        <f aca="false">calc!$D$4</f>
        <v>3</v>
      </c>
      <c r="H4" s="17" t="n">
        <f aca="false">calc!$E$4</f>
        <v>10</v>
      </c>
      <c r="I4" s="12" t="n">
        <v>3</v>
      </c>
      <c r="J4" s="68" t="n">
        <f aca="false">calc!$AY$4</f>
        <v>370135.931121461</v>
      </c>
      <c r="K4" s="21" t="n">
        <f aca="false">calc!$AG$4</f>
        <v>-27.3837139093356</v>
      </c>
      <c r="L4" s="29" t="n">
        <f aca="false">calc!$AV$4</f>
        <v>32.3430566652093</v>
      </c>
      <c r="M4" s="69" t="n">
        <f aca="false">calc!$AH$4</f>
        <v>18.7251789222217</v>
      </c>
      <c r="N4" s="21" t="n">
        <f aca="false">M4*15</f>
        <v>280.877683833326</v>
      </c>
      <c r="O4" s="10" t="n">
        <f aca="false">24*ACOS(-TAN(input!$E$2*PI()/180)*TAN(K4*PI()/180))/PI()</f>
        <v>13.693549395668</v>
      </c>
    </row>
    <row r="5" customFormat="false" ht="15" hidden="false" customHeight="false" outlineLevel="0" collapsed="false">
      <c r="G5" s="12" t="n">
        <f aca="false">calc!$D$5</f>
        <v>4</v>
      </c>
      <c r="H5" s="17" t="n">
        <f aca="false">calc!$E$5</f>
        <v>10</v>
      </c>
      <c r="I5" s="12" t="n">
        <v>4</v>
      </c>
      <c r="J5" s="68" t="n">
        <f aca="false">calc!$AY$5</f>
        <v>369469.835110635</v>
      </c>
      <c r="K5" s="21" t="n">
        <f aca="false">calc!$AG$5</f>
        <v>-26.1466940590779</v>
      </c>
      <c r="L5" s="29" t="n">
        <f aca="false">calc!$AV$5</f>
        <v>32.5174901512391</v>
      </c>
      <c r="M5" s="69" t="n">
        <f aca="false">calc!$AH$5</f>
        <v>19.778729559221</v>
      </c>
      <c r="N5" s="21" t="n">
        <f aca="false">M5*15</f>
        <v>296.680943388315</v>
      </c>
      <c r="O5" s="10" t="n">
        <f aca="false">24*ACOS(-TAN(input!$E$2*PI()/180)*TAN(K5*PI()/180))/PI()</f>
        <v>13.6036358059718</v>
      </c>
    </row>
    <row r="6" customFormat="false" ht="15" hidden="false" customHeight="false" outlineLevel="0" collapsed="false">
      <c r="G6" s="12" t="n">
        <f aca="false">calc!$D$6</f>
        <v>5</v>
      </c>
      <c r="H6" s="17" t="n">
        <f aca="false">calc!$E$6</f>
        <v>10</v>
      </c>
      <c r="I6" s="12" t="n">
        <v>5</v>
      </c>
      <c r="J6" s="68" t="n">
        <f aca="false">calc!$AY$6</f>
        <v>369358.168557707</v>
      </c>
      <c r="K6" s="21" t="n">
        <f aca="false">calc!$AG$6</f>
        <v>-23.2321924762633</v>
      </c>
      <c r="L6" s="29" t="n">
        <f aca="false">calc!$AV$6</f>
        <v>32.6376401709251</v>
      </c>
      <c r="M6" s="69" t="n">
        <f aca="false">calc!$AH$6</f>
        <v>20.7988430000954</v>
      </c>
      <c r="N6" s="21" t="n">
        <f aca="false">M6*15</f>
        <v>311.982645001432</v>
      </c>
      <c r="O6" s="10" t="n">
        <f aca="false">24*ACOS(-TAN(input!$E$2*PI()/180)*TAN(K6*PI()/180))/PI()</f>
        <v>13.3998212245831</v>
      </c>
    </row>
    <row r="7" customFormat="false" ht="15" hidden="false" customHeight="false" outlineLevel="0" collapsed="false">
      <c r="G7" s="12" t="n">
        <f aca="false">calc!$D$7</f>
        <v>6</v>
      </c>
      <c r="H7" s="17" t="n">
        <f aca="false">calc!$E$7</f>
        <v>10</v>
      </c>
      <c r="I7" s="12" t="n">
        <v>6</v>
      </c>
      <c r="J7" s="68" t="n">
        <f aca="false">calc!$AY$7</f>
        <v>369903.130398636</v>
      </c>
      <c r="K7" s="21" t="n">
        <f aca="false">calc!$AG$7</f>
        <v>-18.9100837635884</v>
      </c>
      <c r="L7" s="29" t="n">
        <f aca="false">calc!$AV$7</f>
        <v>32.6851032092342</v>
      </c>
      <c r="M7" s="69" t="n">
        <f aca="false">calc!$AH$7</f>
        <v>21.7663619943934</v>
      </c>
      <c r="N7" s="21" t="n">
        <f aca="false">M7*15</f>
        <v>326.495429915901</v>
      </c>
      <c r="O7" s="10" t="n">
        <f aca="false">24*ACOS(-TAN(input!$E$2*PI()/180)*TAN(K7*PI()/180))/PI()</f>
        <v>13.1148313639314</v>
      </c>
    </row>
    <row r="8" customFormat="false" ht="15" hidden="false" customHeight="false" outlineLevel="0" collapsed="false">
      <c r="G8" s="12" t="n">
        <f aca="false">calc!$D$8</f>
        <v>7</v>
      </c>
      <c r="H8" s="17" t="n">
        <f aca="false">calc!$E$8</f>
        <v>10</v>
      </c>
      <c r="I8" s="12" t="n">
        <v>7</v>
      </c>
      <c r="J8" s="68" t="n">
        <f aca="false">calc!$AY$8</f>
        <v>371206.952623731</v>
      </c>
      <c r="K8" s="21" t="n">
        <f aca="false">calc!$AG$8</f>
        <v>-13.5391743147829</v>
      </c>
      <c r="L8" s="29" t="n">
        <f aca="false">calc!$AV$8</f>
        <v>32.6423686738014</v>
      </c>
      <c r="M8" s="69" t="n">
        <f aca="false">calc!$AH$8</f>
        <v>22.6775748641979</v>
      </c>
      <c r="N8" s="21" t="n">
        <f aca="false">M8*15</f>
        <v>340.163622962969</v>
      </c>
      <c r="O8" s="10" t="n">
        <f aca="false">24*ACOS(-TAN(input!$E$2*PI()/180)*TAN(K8*PI()/180))/PI()</f>
        <v>12.7822265444882</v>
      </c>
    </row>
    <row r="9" customFormat="false" ht="15" hidden="false" customHeight="false" outlineLevel="0" collapsed="false">
      <c r="G9" s="12" t="n">
        <f aca="false">calc!$D$9</f>
        <v>8</v>
      </c>
      <c r="H9" s="17" t="n">
        <f aca="false">calc!$E$9</f>
        <v>10</v>
      </c>
      <c r="I9" s="12" t="n">
        <v>8</v>
      </c>
      <c r="J9" s="68" t="n">
        <f aca="false">calc!$AY$9</f>
        <v>373337.568290348</v>
      </c>
      <c r="K9" s="21" t="n">
        <f aca="false">calc!$AG$9</f>
        <v>-7.50385044521463</v>
      </c>
      <c r="L9" s="29" t="n">
        <f aca="false">calc!$AV$9</f>
        <v>32.4982534609132</v>
      </c>
      <c r="M9" s="69" t="n">
        <f aca="false">calc!$AH$9</f>
        <v>23.5405258900902</v>
      </c>
      <c r="N9" s="21" t="n">
        <f aca="false">M9*15</f>
        <v>353.107888351353</v>
      </c>
      <c r="O9" s="10" t="n">
        <f aca="false">24*ACOS(-TAN(input!$E$2*PI()/180)*TAN(K9*PI()/180))/PI()</f>
        <v>12.4273605354641</v>
      </c>
    </row>
    <row r="10" customFormat="false" ht="15" hidden="false" customHeight="false" outlineLevel="0" collapsed="false">
      <c r="G10" s="12" t="n">
        <f aca="false">calc!$D$10</f>
        <v>9</v>
      </c>
      <c r="H10" s="17" t="n">
        <f aca="false">calc!$E$10</f>
        <v>10</v>
      </c>
      <c r="I10" s="12" t="n">
        <v>9</v>
      </c>
      <c r="J10" s="68" t="n">
        <f aca="false">calc!$AY$10</f>
        <v>376294.646632273</v>
      </c>
      <c r="K10" s="21" t="n">
        <f aca="false">calc!$AG$10</f>
        <v>-1.1759712230116</v>
      </c>
      <c r="L10" s="29" t="n">
        <f aca="false">calc!$AV$10</f>
        <v>32.2525850216811</v>
      </c>
      <c r="M10" s="69" t="n">
        <f aca="false">calc!$AH$10</f>
        <v>0.369494056002695</v>
      </c>
      <c r="N10" s="21" t="n">
        <f aca="false">M10*15</f>
        <v>5.54241084004043</v>
      </c>
      <c r="O10" s="10" t="n">
        <f aca="false">24*ACOS(-TAN(input!$E$2*PI()/180)*TAN(K10*PI()/180))/PI()</f>
        <v>12.0665662121643</v>
      </c>
    </row>
    <row r="11" customFormat="false" ht="15" hidden="false" customHeight="false" outlineLevel="0" collapsed="false">
      <c r="G11" s="12" t="n">
        <f aca="false">calc!$D$11</f>
        <v>10</v>
      </c>
      <c r="H11" s="17" t="n">
        <f aca="false">calc!$E$11</f>
        <v>10</v>
      </c>
      <c r="I11" s="12" t="n">
        <v>10</v>
      </c>
      <c r="J11" s="68" t="n">
        <f aca="false">calc!$AY$11</f>
        <v>379986.128348195</v>
      </c>
      <c r="K11" s="21" t="n">
        <f aca="false">calc!$AG$11</f>
        <v>5.10259087066115</v>
      </c>
      <c r="L11" s="29" t="n">
        <f aca="false">calc!$AV$11</f>
        <v>31.9183523421782</v>
      </c>
      <c r="M11" s="69" t="n">
        <f aca="false">calc!$AH$11</f>
        <v>1.18068486541347</v>
      </c>
      <c r="N11" s="21" t="n">
        <f aca="false">M11*15</f>
        <v>17.7102729812021</v>
      </c>
      <c r="O11" s="10" t="n">
        <f aca="false">24*ACOS(-TAN(input!$E$2*PI()/180)*TAN(K11*PI()/180))/PI()</f>
        <v>11.710375207895</v>
      </c>
    </row>
    <row r="12" customFormat="false" ht="15" hidden="false" customHeight="false" outlineLevel="0" collapsed="false">
      <c r="G12" s="12" t="n">
        <f aca="false">calc!$D$12</f>
        <v>11</v>
      </c>
      <c r="H12" s="17" t="n">
        <f aca="false">calc!$E$12</f>
        <v>10</v>
      </c>
      <c r="I12" s="12" t="n">
        <v>11</v>
      </c>
      <c r="J12" s="68" t="n">
        <f aca="false">calc!$AY$12</f>
        <v>384222.934828096</v>
      </c>
      <c r="K12" s="21" t="n">
        <f aca="false">calc!$AG$12</f>
        <v>11.0266269939916</v>
      </c>
      <c r="L12" s="29" t="n">
        <f aca="false">calc!$AV$12</f>
        <v>31.5204587640703</v>
      </c>
      <c r="M12" s="69" t="n">
        <f aca="false">calc!$AH$12</f>
        <v>1.98956431438432</v>
      </c>
      <c r="N12" s="21" t="n">
        <f aca="false">M12*15</f>
        <v>29.8434647157648</v>
      </c>
      <c r="O12" s="10" t="n">
        <f aca="false">24*ACOS(-TAN(input!$E$2*PI()/180)*TAN(K12*PI()/180))/PI()</f>
        <v>11.3673866627631</v>
      </c>
    </row>
    <row r="13" customFormat="false" ht="15" hidden="false" customHeight="false" outlineLevel="0" collapsed="false">
      <c r="G13" s="12" t="n">
        <f aca="false">calc!$D$13</f>
        <v>12</v>
      </c>
      <c r="H13" s="17" t="n">
        <f aca="false">calc!$E$13</f>
        <v>10</v>
      </c>
      <c r="I13" s="12" t="n">
        <v>12</v>
      </c>
      <c r="J13" s="68" t="n">
        <f aca="false">calc!$AY$13</f>
        <v>388733.6378279</v>
      </c>
      <c r="K13" s="21" t="n">
        <f aca="false">calc!$AG$13</f>
        <v>16.3296741317099</v>
      </c>
      <c r="L13" s="29" t="n">
        <f aca="false">calc!$AV$13</f>
        <v>31.0915289657549</v>
      </c>
      <c r="M13" s="69" t="n">
        <f aca="false">calc!$AH$13</f>
        <v>2.80914190317612</v>
      </c>
      <c r="N13" s="21" t="n">
        <f aca="false">M13*15</f>
        <v>42.1371285476418</v>
      </c>
      <c r="O13" s="10" t="n">
        <f aca="false">24*ACOS(-TAN(input!$E$2*PI()/180)*TAN(K13*PI()/180))/PI()</f>
        <v>11.0474643471356</v>
      </c>
    </row>
    <row r="14" customFormat="false" ht="15" hidden="false" customHeight="false" outlineLevel="0" collapsed="false">
      <c r="G14" s="12" t="n">
        <f aca="false">calc!$D$14</f>
        <v>13</v>
      </c>
      <c r="H14" s="17" t="n">
        <f aca="false">calc!$E$14</f>
        <v>10</v>
      </c>
      <c r="I14" s="12" t="n">
        <v>13</v>
      </c>
      <c r="J14" s="68" t="n">
        <f aca="false">calc!$AY$14</f>
        <v>393194.332797055</v>
      </c>
      <c r="K14" s="21" t="n">
        <f aca="false">calc!$AG$14</f>
        <v>20.7844843243622</v>
      </c>
      <c r="L14" s="29" t="n">
        <f aca="false">calc!$AV$14</f>
        <v>30.6662872407858</v>
      </c>
      <c r="M14" s="69" t="n">
        <f aca="false">calc!$AH$14</f>
        <v>3.64849114544767</v>
      </c>
      <c r="N14" s="21" t="n">
        <f aca="false">M14*15</f>
        <v>54.727367181715</v>
      </c>
      <c r="O14" s="10" t="n">
        <f aca="false">24*ACOS(-TAN(input!$E$2*PI()/180)*TAN(K14*PI()/180))/PI()</f>
        <v>10.7638122646641</v>
      </c>
    </row>
    <row r="15" customFormat="false" ht="15" hidden="false" customHeight="false" outlineLevel="0" collapsed="false">
      <c r="G15" s="12" t="n">
        <f aca="false">calc!$D$15</f>
        <v>14</v>
      </c>
      <c r="H15" s="17" t="n">
        <f aca="false">calc!$E$15</f>
        <v>10</v>
      </c>
      <c r="I15" s="12" t="n">
        <v>14</v>
      </c>
      <c r="J15" s="68" t="n">
        <f aca="false">calc!$AY$15</f>
        <v>397265.214038636</v>
      </c>
      <c r="K15" s="21" t="n">
        <f aca="false">calc!$AG$15</f>
        <v>24.204427486773</v>
      </c>
      <c r="L15" s="29" t="n">
        <f aca="false">calc!$AV$15</f>
        <v>30.2763483167082</v>
      </c>
      <c r="M15" s="69" t="n">
        <f aca="false">calc!$AH$15</f>
        <v>4.51123836677973</v>
      </c>
      <c r="N15" s="21" t="n">
        <f aca="false">M15*15</f>
        <v>67.668575501696</v>
      </c>
      <c r="O15" s="10" t="n">
        <f aca="false">24*ACOS(-TAN(input!$E$2*PI()/180)*TAN(K15*PI()/180))/PI()</f>
        <v>10.5333568490234</v>
      </c>
    </row>
    <row r="16" customFormat="false" ht="15" hidden="false" customHeight="false" outlineLevel="0" collapsed="false">
      <c r="G16" s="12" t="n">
        <f aca="false">calc!$D$16</f>
        <v>15</v>
      </c>
      <c r="H16" s="17" t="n">
        <f aca="false">calc!$E$16</f>
        <v>10</v>
      </c>
      <c r="I16" s="12" t="n">
        <v>15</v>
      </c>
      <c r="J16" s="68" t="n">
        <f aca="false">calc!$AY$16</f>
        <v>400625.949580846</v>
      </c>
      <c r="K16" s="21" t="n">
        <f aca="false">calc!$AG$16</f>
        <v>26.4485379655136</v>
      </c>
      <c r="L16" s="29" t="n">
        <f aca="false">calc!$AV$16</f>
        <v>29.9468069460887</v>
      </c>
      <c r="M16" s="69" t="n">
        <f aca="false">calc!$AH$16</f>
        <v>5.39439382730399</v>
      </c>
      <c r="N16" s="21" t="n">
        <f aca="false">M16*15</f>
        <v>80.9159074095599</v>
      </c>
      <c r="O16" s="10" t="n">
        <f aca="false">24*ACOS(-TAN(input!$E$2*PI()/180)*TAN(K16*PI()/180))/PI()</f>
        <v>10.3746251037739</v>
      </c>
    </row>
    <row r="17" customFormat="false" ht="15" hidden="false" customHeight="false" outlineLevel="0" collapsed="false">
      <c r="G17" s="12" t="n">
        <f aca="false">calc!$D$17</f>
        <v>16</v>
      </c>
      <c r="H17" s="17" t="n">
        <f aca="false">calc!$E$17</f>
        <v>10</v>
      </c>
      <c r="I17" s="12" t="n">
        <v>16</v>
      </c>
      <c r="J17" s="68" t="n">
        <f aca="false">calc!$AY$17</f>
        <v>403005.458617671</v>
      </c>
      <c r="K17" s="21" t="n">
        <f aca="false">calc!$AG$17</f>
        <v>27.4307332422599</v>
      </c>
      <c r="L17" s="29" t="n">
        <f aca="false">calc!$AV$17</f>
        <v>29.6951112980133</v>
      </c>
      <c r="M17" s="69" t="n">
        <f aca="false">calc!$AH$17</f>
        <v>6.28846718065824</v>
      </c>
      <c r="N17" s="21" t="n">
        <f aca="false">M17*15</f>
        <v>94.3270077098736</v>
      </c>
      <c r="O17" s="10" t="n">
        <f aca="false">24*ACOS(-TAN(input!$E$2*PI()/180)*TAN(K17*PI()/180))/PI()</f>
        <v>10.3029891315664</v>
      </c>
    </row>
    <row r="18" customFormat="false" ht="15" hidden="false" customHeight="false" outlineLevel="0" collapsed="false">
      <c r="G18" s="12" t="n">
        <f aca="false">calc!$D$18</f>
        <v>17</v>
      </c>
      <c r="H18" s="17" t="n">
        <f aca="false">calc!$E$18</f>
        <v>10</v>
      </c>
      <c r="I18" s="12" t="n">
        <v>17</v>
      </c>
      <c r="J18" s="68" t="n">
        <f aca="false">calc!$AY$18</f>
        <v>404205.102359907</v>
      </c>
      <c r="K18" s="21" t="n">
        <f aca="false">calc!$AG$18</f>
        <v>27.1289265862069</v>
      </c>
      <c r="L18" s="29" t="n">
        <f aca="false">calc!$AV$18</f>
        <v>29.5317941610733</v>
      </c>
      <c r="M18" s="69" t="n">
        <f aca="false">calc!$AH$18</f>
        <v>7.17970971039215</v>
      </c>
      <c r="N18" s="21" t="n">
        <f aca="false">M18*15</f>
        <v>107.695645655882</v>
      </c>
      <c r="O18" s="10" t="n">
        <f aca="false">24*ACOS(-TAN(input!$E$2*PI()/180)*TAN(K18*PI()/180))/PI()</f>
        <v>10.3251505185584</v>
      </c>
    </row>
    <row r="19" customFormat="false" ht="15" hidden="false" customHeight="false" outlineLevel="0" collapsed="false">
      <c r="G19" s="12" t="n">
        <f aca="false">calc!$D$19</f>
        <v>18</v>
      </c>
      <c r="H19" s="17" t="n">
        <f aca="false">calc!$E$19</f>
        <v>10</v>
      </c>
      <c r="I19" s="12" t="n">
        <v>18</v>
      </c>
      <c r="J19" s="68" t="n">
        <f aca="false">calc!$AY$19</f>
        <v>404115.59750547</v>
      </c>
      <c r="K19" s="21" t="n">
        <f aca="false">calc!$AG$19</f>
        <v>25.5865078004685</v>
      </c>
      <c r="L19" s="29" t="n">
        <f aca="false">calc!$AV$19</f>
        <v>29.4620530674234</v>
      </c>
      <c r="M19" s="69" t="n">
        <f aca="false">calc!$AH$19</f>
        <v>8.05417807731301</v>
      </c>
      <c r="N19" s="21" t="n">
        <f aca="false">M19*15</f>
        <v>120.812671159695</v>
      </c>
      <c r="O19" s="10" t="n">
        <f aca="false">24*ACOS(-TAN(input!$E$2*PI()/180)*TAN(K19*PI()/180))/PI()</f>
        <v>10.4363793514263</v>
      </c>
    </row>
    <row r="20" customFormat="false" ht="15" hidden="false" customHeight="false" outlineLevel="0" collapsed="false">
      <c r="G20" s="12" t="n">
        <f aca="false">calc!$D$20</f>
        <v>19</v>
      </c>
      <c r="H20" s="17" t="n">
        <f aca="false">calc!$E$20</f>
        <v>10</v>
      </c>
      <c r="I20" s="12" t="n">
        <v>19</v>
      </c>
      <c r="J20" s="68" t="n">
        <f aca="false">calc!$AY$20</f>
        <v>402727.438927862</v>
      </c>
      <c r="K20" s="21" t="n">
        <f aca="false">calc!$AG$20</f>
        <v>22.9018667162038</v>
      </c>
      <c r="L20" s="29" t="n">
        <f aca="false">calc!$AV$20</f>
        <v>29.487080425812</v>
      </c>
      <c r="M20" s="69" t="n">
        <f aca="false">calc!$AH$20</f>
        <v>8.90192621570511</v>
      </c>
      <c r="N20" s="21" t="n">
        <f aca="false">M20*15</f>
        <v>133.528893235577</v>
      </c>
      <c r="O20" s="10" t="n">
        <f aca="false">24*ACOS(-TAN(input!$E$2*PI()/180)*TAN(K20*PI()/180))/PI()</f>
        <v>10.6226346090576</v>
      </c>
    </row>
    <row r="21" customFormat="false" ht="15" hidden="false" customHeight="false" outlineLevel="0" collapsed="false">
      <c r="G21" s="12" t="n">
        <f aca="false">calc!$D$21</f>
        <v>20</v>
      </c>
      <c r="H21" s="17" t="n">
        <f aca="false">calc!$E$21</f>
        <v>10</v>
      </c>
      <c r="I21" s="12" t="n">
        <v>20</v>
      </c>
      <c r="J21" s="68" t="n">
        <f aca="false">calc!$AY$21</f>
        <v>400133.913154532</v>
      </c>
      <c r="K21" s="21" t="n">
        <f aca="false">calc!$AG$21</f>
        <v>19.2097332219753</v>
      </c>
      <c r="L21" s="29" t="n">
        <f aca="false">calc!$AV$21</f>
        <v>29.6044251787304</v>
      </c>
      <c r="M21" s="69" t="n">
        <f aca="false">calc!$AH$21</f>
        <v>9.71949956852727</v>
      </c>
      <c r="N21" s="21" t="n">
        <f aca="false">M21*15</f>
        <v>145.792493527909</v>
      </c>
      <c r="O21" s="10" t="n">
        <f aca="false">24*ACOS(-TAN(input!$E$2*PI()/180)*TAN(K21*PI()/180))/PI()</f>
        <v>10.8659775252638</v>
      </c>
    </row>
    <row r="22" customFormat="false" ht="15" hidden="false" customHeight="false" outlineLevel="0" collapsed="false">
      <c r="G22" s="12" t="n">
        <f aca="false">calc!$D$22</f>
        <v>21</v>
      </c>
      <c r="H22" s="17" t="n">
        <f aca="false">calc!$E$22</f>
        <v>10</v>
      </c>
      <c r="I22" s="12" t="n">
        <v>21</v>
      </c>
      <c r="J22" s="68" t="n">
        <f aca="false">calc!$AY$22</f>
        <v>396525.927066574</v>
      </c>
      <c r="K22" s="21" t="n">
        <f aca="false">calc!$AG$22</f>
        <v>14.6636405824598</v>
      </c>
      <c r="L22" s="29" t="n">
        <f aca="false">calc!$AV$22</f>
        <v>29.8073255715447</v>
      </c>
      <c r="M22" s="69" t="n">
        <f aca="false">calc!$AH$22</f>
        <v>10.5102012779805</v>
      </c>
      <c r="N22" s="21" t="n">
        <f aca="false">M22*15</f>
        <v>157.653019169708</v>
      </c>
      <c r="O22" s="10" t="n">
        <f aca="false">24*ACOS(-TAN(input!$E$2*PI()/180)*TAN(K22*PI()/180))/PI()</f>
        <v>11.149725456681</v>
      </c>
    </row>
    <row r="23" customFormat="false" ht="15" hidden="false" customHeight="false" outlineLevel="0" collapsed="false">
      <c r="G23" s="12" t="n">
        <f aca="false">calc!$D$23</f>
        <v>22</v>
      </c>
      <c r="H23" s="17" t="n">
        <f aca="false">calc!$E$23</f>
        <v>10</v>
      </c>
      <c r="I23" s="12" t="n">
        <v>22</v>
      </c>
      <c r="J23" s="68" t="n">
        <f aca="false">calc!$AY$23</f>
        <v>392178.44519009</v>
      </c>
      <c r="K23" s="21" t="n">
        <f aca="false">calc!$AG$23</f>
        <v>9.42755448079969</v>
      </c>
      <c r="L23" s="29" t="n">
        <f aca="false">calc!$AV$23</f>
        <v>30.0835916942953</v>
      </c>
      <c r="M23" s="69" t="n">
        <f aca="false">calc!$AH$23</f>
        <v>11.2829124584762</v>
      </c>
      <c r="N23" s="21" t="n">
        <f aca="false">M23*15</f>
        <v>169.243686877143</v>
      </c>
      <c r="O23" s="10" t="n">
        <f aca="false">24*ACOS(-TAN(input!$E$2*PI()/180)*TAN(K23*PI()/180))/PI()</f>
        <v>11.4611172827523</v>
      </c>
    </row>
    <row r="24" customFormat="false" ht="15" hidden="false" customHeight="false" outlineLevel="0" collapsed="false">
      <c r="G24" s="12" t="n">
        <f aca="false">calc!$D$24</f>
        <v>23</v>
      </c>
      <c r="H24" s="17" t="n">
        <f aca="false">calc!$E$24</f>
        <v>10</v>
      </c>
      <c r="I24" s="12" t="n">
        <v>23</v>
      </c>
      <c r="J24" s="68" t="n">
        <f aca="false">calc!$AY$24</f>
        <v>387428.461622192</v>
      </c>
      <c r="K24" s="21" t="n">
        <f aca="false">calc!$AG$24</f>
        <v>3.67941012625683</v>
      </c>
      <c r="L24" s="29" t="n">
        <f aca="false">calc!$AV$24</f>
        <v>30.4149523977798</v>
      </c>
      <c r="M24" s="69" t="n">
        <f aca="false">calc!$AH$24</f>
        <v>12.0505470887479</v>
      </c>
      <c r="N24" s="21" t="n">
        <f aca="false">M24*15</f>
        <v>180.758206331218</v>
      </c>
      <c r="O24" s="10" t="n">
        <f aca="false">24*ACOS(-TAN(input!$E$2*PI()/180)*TAN(K24*PI()/180))/PI()</f>
        <v>11.7914451057457</v>
      </c>
    </row>
    <row r="25" customFormat="false" ht="15" hidden="false" customHeight="false" outlineLevel="0" collapsed="false">
      <c r="G25" s="12" t="n">
        <f aca="false">calc!$D$25</f>
        <v>24</v>
      </c>
      <c r="H25" s="17" t="n">
        <f aca="false">calc!$E$25</f>
        <v>10</v>
      </c>
      <c r="I25" s="12" t="n">
        <v>24</v>
      </c>
      <c r="J25" s="68" t="n">
        <f aca="false">calc!$AY$25</f>
        <v>382644.337384136</v>
      </c>
      <c r="K25" s="21" t="n">
        <f aca="false">calc!$AG$25</f>
        <v>-2.37563441446385</v>
      </c>
      <c r="L25" s="29" t="n">
        <f aca="false">calc!$AV$25</f>
        <v>30.7776671775379</v>
      </c>
      <c r="M25" s="69" t="n">
        <f aca="false">calc!$AH$25</f>
        <v>12.8287402850781</v>
      </c>
      <c r="N25" s="21" t="n">
        <f aca="false">M25*15</f>
        <v>192.431104276171</v>
      </c>
      <c r="O25" s="10" t="n">
        <f aca="false">24*ACOS(-TAN(input!$E$2*PI()/180)*TAN(K25*PI()/180))/PI()</f>
        <v>12.1345369863202</v>
      </c>
    </row>
    <row r="26" customFormat="false" ht="15" hidden="false" customHeight="false" outlineLevel="0" collapsed="false">
      <c r="G26" s="12" t="n">
        <f aca="false">calc!$D$26</f>
        <v>25</v>
      </c>
      <c r="H26" s="17" t="n">
        <f aca="false">calc!$E$26</f>
        <v>10</v>
      </c>
      <c r="I26" s="12" t="n">
        <v>25</v>
      </c>
      <c r="J26" s="68" t="n">
        <f aca="false">calc!$AY$26</f>
        <v>378187.391599323</v>
      </c>
      <c r="K26" s="21" t="n">
        <f aca="false">calc!$AG$26</f>
        <v>-8.48742237717936</v>
      </c>
      <c r="L26" s="29" t="n">
        <f aca="false">calc!$AV$26</f>
        <v>31.1447032969291</v>
      </c>
      <c r="M26" s="69" t="n">
        <f aca="false">calc!$AH$26</f>
        <v>13.6347249467676</v>
      </c>
      <c r="N26" s="21" t="n">
        <f aca="false">M26*15</f>
        <v>204.520874201514</v>
      </c>
      <c r="O26" s="10" t="n">
        <f aca="false">24*ACOS(-TAN(input!$E$2*PI()/180)*TAN(K26*PI()/180))/PI()</f>
        <v>12.4842285005913</v>
      </c>
    </row>
    <row r="27" customFormat="false" ht="15" hidden="false" customHeight="false" outlineLevel="0" collapsed="false">
      <c r="G27" s="12" t="n">
        <f aca="false">calc!$D$27</f>
        <v>26</v>
      </c>
      <c r="H27" s="17" t="n">
        <f aca="false">calc!$E$27</f>
        <v>10</v>
      </c>
      <c r="I27" s="12" t="n">
        <v>26</v>
      </c>
      <c r="J27" s="68" t="n">
        <f aca="false">calc!$AY$27</f>
        <v>374369.771007691</v>
      </c>
      <c r="K27" s="21" t="n">
        <f aca="false">calc!$AG$27</f>
        <v>-14.3455941553217</v>
      </c>
      <c r="L27" s="29" t="n">
        <f aca="false">calc!$AV$27</f>
        <v>31.4891369409006</v>
      </c>
      <c r="M27" s="69" t="n">
        <f aca="false">calc!$AH$27</f>
        <v>14.4858188631028</v>
      </c>
      <c r="N27" s="21" t="n">
        <f aca="false">M27*15</f>
        <v>217.287282946542</v>
      </c>
      <c r="O27" s="10" t="n">
        <f aca="false">24*ACOS(-TAN(input!$E$2*PI()/180)*TAN(K27*PI()/180))/PI()</f>
        <v>12.8309525426879</v>
      </c>
    </row>
    <row r="28" customFormat="false" ht="15" hidden="false" customHeight="false" outlineLevel="0" collapsed="false">
      <c r="G28" s="12" t="n">
        <f aca="false">calc!$D$28</f>
        <v>27</v>
      </c>
      <c r="H28" s="17" t="n">
        <f aca="false">calc!$E$28</f>
        <v>10</v>
      </c>
      <c r="I28" s="12" t="n">
        <v>27</v>
      </c>
      <c r="J28" s="68" t="n">
        <f aca="false">calc!$AY$28</f>
        <v>371416.660252167</v>
      </c>
      <c r="K28" s="21" t="n">
        <f aca="false">calc!$AG$28</f>
        <v>-19.5762819731176</v>
      </c>
      <c r="L28" s="29" t="n">
        <f aca="false">calc!$AV$28</f>
        <v>31.7879447007944</v>
      </c>
      <c r="M28" s="69" t="n">
        <f aca="false">calc!$AH$28</f>
        <v>15.3965733980102</v>
      </c>
      <c r="N28" s="21" t="n">
        <f aca="false">M28*15</f>
        <v>230.948600970153</v>
      </c>
      <c r="O28" s="10" t="n">
        <f aca="false">24*ACOS(-TAN(input!$E$2*PI()/180)*TAN(K28*PI()/180))/PI()</f>
        <v>13.1576034740698</v>
      </c>
    </row>
    <row r="29" customFormat="false" ht="15" hidden="false" customHeight="false" outlineLevel="0" collapsed="false">
      <c r="G29" s="12" t="n">
        <f aca="false">calc!$D$29</f>
        <v>28</v>
      </c>
      <c r="H29" s="17" t="n">
        <f aca="false">calc!$E$29</f>
        <v>10</v>
      </c>
      <c r="I29" s="12" t="n">
        <v>28</v>
      </c>
      <c r="J29" s="68" t="n">
        <f aca="false">calc!$AY$29</f>
        <v>369442.856973468</v>
      </c>
      <c r="K29" s="21" t="n">
        <f aca="false">calc!$AG$29</f>
        <v>-23.7630432845527</v>
      </c>
      <c r="L29" s="29" t="n">
        <f aca="false">calc!$AV$29</f>
        <v>32.025177686453</v>
      </c>
      <c r="M29" s="69" t="n">
        <f aca="false">calc!$AH$29</f>
        <v>16.3737685074083</v>
      </c>
      <c r="N29" s="21" t="n">
        <f aca="false">M29*15</f>
        <v>245.606527611124</v>
      </c>
      <c r="O29" s="10" t="n">
        <f aca="false">24*ACOS(-TAN(input!$E$2*PI()/180)*TAN(K29*PI()/180))/PI()</f>
        <v>13.4361693385824</v>
      </c>
    </row>
    <row r="30" customFormat="false" ht="15" hidden="false" customHeight="false" outlineLevel="0" collapsed="false">
      <c r="G30" s="12" t="n">
        <f aca="false">calc!$D$30</f>
        <v>29</v>
      </c>
      <c r="H30" s="12" t="n">
        <f aca="false">calc!$E$30</f>
        <v>10</v>
      </c>
      <c r="I30" s="12" t="n">
        <v>29</v>
      </c>
      <c r="J30" s="68" t="n">
        <f aca="false">calc!$AY$30</f>
        <v>368451.171696808</v>
      </c>
      <c r="K30" s="21" t="n">
        <f aca="false">calc!$AG$30</f>
        <v>-26.504263819981</v>
      </c>
      <c r="L30" s="29" t="n">
        <f aca="false">calc!$AV$30</f>
        <v>32.1936451892885</v>
      </c>
      <c r="M30" s="69" t="n">
        <f aca="false">calc!$AH$30</f>
        <v>17.410048841584</v>
      </c>
      <c r="N30" s="21" t="n">
        <f aca="false">M30*15</f>
        <v>261.15073262376</v>
      </c>
      <c r="O30" s="10" t="n">
        <f aca="false">24*ACOS(-TAN(input!$E$2*PI()/180)*TAN(K30*PI()/180))/PI()</f>
        <v>13.6294022177116</v>
      </c>
    </row>
    <row r="31" customFormat="false" ht="15" hidden="false" customHeight="false" outlineLevel="0" collapsed="false">
      <c r="G31" s="12" t="n">
        <f aca="false">calc!$D$31</f>
        <v>30</v>
      </c>
      <c r="H31" s="12" t="n">
        <f aca="false">calc!$E$31</f>
        <v>10</v>
      </c>
      <c r="I31" s="12" t="n">
        <v>30</v>
      </c>
      <c r="J31" s="68" t="n">
        <f aca="false">calc!$AY$31</f>
        <v>368353.409166924</v>
      </c>
      <c r="K31" s="21" t="n">
        <f aca="false">calc!$AG$31</f>
        <v>-27.5046306427435</v>
      </c>
      <c r="L31" s="29" t="n">
        <f aca="false">calc!$AV$31</f>
        <v>32.2945885865161</v>
      </c>
      <c r="M31" s="69" t="n">
        <f aca="false">calc!$AH$31</f>
        <v>18.4804791025545</v>
      </c>
      <c r="N31" s="21" t="n">
        <f aca="false">M31*15</f>
        <v>277.207186538317</v>
      </c>
      <c r="O31" s="10" t="n">
        <f aca="false">24*ACOS(-TAN(input!$E$2*PI()/180)*TAN(K31*PI()/180))/PI()</f>
        <v>13.7024577350865</v>
      </c>
    </row>
    <row r="32" customFormat="false" ht="15" hidden="false" customHeight="false" outlineLevel="0" collapsed="false">
      <c r="G32" s="12" t="n">
        <f aca="false">calc!$D$32</f>
        <v>31</v>
      </c>
      <c r="H32" s="12" t="n">
        <f aca="false">calc!$E$32</f>
        <v>10</v>
      </c>
      <c r="I32" s="12" t="n">
        <v>31</v>
      </c>
      <c r="J32" s="68" t="n">
        <f aca="false">calc!$AY$32</f>
        <v>369007.135516517</v>
      </c>
      <c r="K32" s="21" t="n">
        <f aca="false">calc!$AG$32</f>
        <v>-26.663636191449</v>
      </c>
      <c r="L32" s="29" t="n">
        <f aca="false">calc!$AV$32</f>
        <v>32.3353471972739</v>
      </c>
      <c r="M32" s="69" t="n">
        <f aca="false">calc!$AH$32</f>
        <v>19.5479519184788</v>
      </c>
      <c r="N32" s="21" t="n">
        <f aca="false">M32*15</f>
        <v>293.219278777181</v>
      </c>
      <c r="O32" s="10" t="n">
        <f aca="false">24*ACOS(-TAN(input!$E$2*PI()/180)*TAN(K32*PI()/180))/PI()</f>
        <v>13.6409442688925</v>
      </c>
    </row>
    <row r="34" customFormat="false" ht="15" hidden="false" customHeight="false" outlineLevel="0" collapsed="false">
      <c r="L34" s="25" t="n">
        <f aca="false">calc!$AV$34</f>
        <v>32.6851032092342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D12" colorId="64" zoomScale="100" zoomScaleNormal="100" zoomScalePageLayoutView="100" workbookViewId="0">
      <selection pane="topLeft" activeCell="C4" activeCellId="0" sqref="C4"/>
    </sheetView>
  </sheetViews>
  <sheetFormatPr defaultColWidth="9.625" defaultRowHeight="15" zeroHeight="false" outlineLevelRow="0" outlineLevelCol="0"/>
  <cols>
    <col collapsed="false" customWidth="true" hidden="false" outlineLevel="0" max="1" min="1" style="0" width="8.41"/>
    <col collapsed="false" customWidth="true" hidden="false" outlineLevel="0" max="2" min="2" style="0" width="7.31"/>
    <col collapsed="false" customWidth="true" hidden="false" outlineLevel="0" max="3" min="3" style="0" width="9.86"/>
    <col collapsed="false" customWidth="true" hidden="false" outlineLevel="0" max="4" min="4" style="12" width="6.7"/>
    <col collapsed="false" customWidth="true" hidden="false" outlineLevel="0" max="5" min="5" style="12" width="6.94"/>
    <col collapsed="false" customWidth="true" hidden="false" outlineLevel="0" max="6" min="6" style="0" width="6.21"/>
    <col collapsed="false" customWidth="true" hidden="false" outlineLevel="0" max="7" min="7" style="12" width="7.92"/>
    <col collapsed="false" customWidth="true" hidden="false" outlineLevel="0" max="8" min="8" style="67" width="8.16"/>
    <col collapsed="false" customWidth="true" hidden="false" outlineLevel="0" max="9" min="9" style="12" width="8.29"/>
    <col collapsed="false" customWidth="true" hidden="false" outlineLevel="0" max="10" min="10" style="12" width="7.92"/>
    <col collapsed="false" customWidth="true" hidden="false" outlineLevel="0" max="11" min="11" style="58" width="8.77"/>
  </cols>
  <sheetData>
    <row r="1" customFormat="false" ht="15" hidden="false" customHeight="false" outlineLevel="0" collapsed="false">
      <c r="A1" s="60" t="str">
        <f aca="false">'distance declin  RA'!$A$1</f>
        <v>UT</v>
      </c>
      <c r="B1" s="60" t="str">
        <f aca="false">'distance declin  RA'!$B$1</f>
        <v>Month</v>
      </c>
      <c r="C1" s="60" t="str">
        <f aca="false">'distance declin  RA'!$C$1</f>
        <v>Year</v>
      </c>
      <c r="D1" s="55" t="str">
        <f aca="false">calc!$D$1</f>
        <v>Date</v>
      </c>
      <c r="E1" s="55" t="str">
        <f aca="false">calc!$E$1</f>
        <v>Month</v>
      </c>
      <c r="F1" s="55" t="s">
        <v>79</v>
      </c>
      <c r="G1" s="55" t="str">
        <f aca="false">calc!$X$1</f>
        <v>Lmoon</v>
      </c>
      <c r="H1" s="61" t="s">
        <v>83</v>
      </c>
      <c r="I1" s="55" t="str">
        <f aca="false">calc!$AW$1</f>
        <v>xMoon</v>
      </c>
      <c r="J1" s="55" t="str">
        <f aca="false">calc!$AX$1</f>
        <v>yMoon</v>
      </c>
      <c r="K1" s="60" t="str">
        <f aca="false">calc!$AN$1</f>
        <v>Lsun</v>
      </c>
    </row>
    <row r="2" customFormat="false" ht="15" hidden="false" customHeight="false" outlineLevel="0" collapsed="false">
      <c r="A2" s="62" t="n">
        <f aca="false">'distance declin  RA'!$A$2</f>
        <v>0</v>
      </c>
      <c r="B2" s="60" t="n">
        <f aca="false">'distance declin  RA'!$B$2</f>
        <v>10</v>
      </c>
      <c r="C2" s="60" t="n">
        <f aca="false">'distance declin  RA'!$C$2</f>
        <v>2022</v>
      </c>
      <c r="D2" s="17" t="n">
        <f aca="false">calc!$D$2</f>
        <v>1</v>
      </c>
      <c r="E2" s="17" t="n">
        <f aca="false">calc!$E$2</f>
        <v>10</v>
      </c>
      <c r="F2" s="60" t="n">
        <v>1</v>
      </c>
      <c r="G2" s="70" t="n">
        <f aca="false">calc!$X$2</f>
        <v>4.39089019353471</v>
      </c>
      <c r="H2" s="71" t="n">
        <f aca="false">G2*180/PI()</f>
        <v>251.57947639492</v>
      </c>
      <c r="I2" s="72" t="n">
        <f aca="false">calc!$AW$2</f>
        <v>-0.315988908330502</v>
      </c>
      <c r="J2" s="72" t="n">
        <f aca="false">calc!$AX$2</f>
        <v>-0.948762883871464</v>
      </c>
      <c r="K2" s="72" t="n">
        <f aca="false">calc!$AN$2</f>
        <v>189.717563811462</v>
      </c>
    </row>
    <row r="3" customFormat="false" ht="15" hidden="false" customHeight="false" outlineLevel="0" collapsed="false">
      <c r="A3" s="60"/>
      <c r="B3" s="60"/>
      <c r="C3" s="60"/>
      <c r="D3" s="12" t="n">
        <f aca="false">calc!$D$3</f>
        <v>2</v>
      </c>
      <c r="E3" s="17" t="n">
        <f aca="false">calc!$E$3</f>
        <v>10</v>
      </c>
      <c r="F3" s="73" t="n">
        <v>2</v>
      </c>
      <c r="G3" s="26" t="n">
        <f aca="false">calc!$X$3</f>
        <v>4.63512426071121</v>
      </c>
      <c r="H3" s="71" t="n">
        <f aca="false">G3*180/PI()</f>
        <v>265.573057657448</v>
      </c>
      <c r="I3" s="74" t="n">
        <f aca="false">calc!$AW$3</f>
        <v>-0.0771878663213257</v>
      </c>
      <c r="J3" s="74" t="n">
        <f aca="false">calc!$AX$3</f>
        <v>-0.997016566207784</v>
      </c>
      <c r="K3" s="72" t="n">
        <f aca="false">calc!$AN$3</f>
        <v>190.703211175343</v>
      </c>
    </row>
    <row r="4" customFormat="false" ht="15" hidden="false" customHeight="false" outlineLevel="0" collapsed="false">
      <c r="A4" s="60"/>
      <c r="B4" s="60"/>
      <c r="C4" s="75" t="str">
        <f aca="false">'distance declin  RA'!$C$4</f>
        <v>common year</v>
      </c>
      <c r="D4" s="12" t="n">
        <f aca="false">calc!$D$4</f>
        <v>3</v>
      </c>
      <c r="E4" s="17" t="n">
        <f aca="false">calc!$E$4</f>
        <v>10</v>
      </c>
      <c r="F4" s="12" t="n">
        <v>3</v>
      </c>
      <c r="G4" s="26" t="n">
        <f aca="false">calc!$X$4</f>
        <v>4.88123266412754</v>
      </c>
      <c r="H4" s="71" t="n">
        <f aca="false">G4*180/PI()</f>
        <v>279.674030475907</v>
      </c>
      <c r="I4" s="10" t="n">
        <f aca="false">calc!$AW$4</f>
        <v>0.1680425885281</v>
      </c>
      <c r="J4" s="10" t="n">
        <f aca="false">calc!$AX$4</f>
        <v>-0.985779736270114</v>
      </c>
      <c r="K4" s="72" t="n">
        <f aca="false">calc!$AN$4</f>
        <v>191.688858539224</v>
      </c>
    </row>
    <row r="5" customFormat="false" ht="15" hidden="false" customHeight="false" outlineLevel="0" collapsed="false">
      <c r="D5" s="12" t="n">
        <f aca="false">calc!$D$5</f>
        <v>4</v>
      </c>
      <c r="E5" s="17" t="n">
        <f aca="false">calc!$E$5</f>
        <v>10</v>
      </c>
      <c r="F5" s="12" t="n">
        <v>4</v>
      </c>
      <c r="G5" s="26" t="n">
        <f aca="false">calc!$X$5</f>
        <v>5.12887288118668</v>
      </c>
      <c r="H5" s="71" t="n">
        <f aca="false">G5*180/PI()</f>
        <v>293.862769751099</v>
      </c>
      <c r="I5" s="10" t="n">
        <f aca="false">calc!$AW$5</f>
        <v>0.404547427824874</v>
      </c>
      <c r="J5" s="10" t="n">
        <f aca="false">calc!$AX$5</f>
        <v>-0.914517019327841</v>
      </c>
      <c r="K5" s="72" t="n">
        <f aca="false">calc!$AN$5</f>
        <v>192.674505903105</v>
      </c>
    </row>
    <row r="6" customFormat="false" ht="15" hidden="false" customHeight="false" outlineLevel="0" collapsed="false">
      <c r="D6" s="12" t="n">
        <f aca="false">calc!$D$6</f>
        <v>5</v>
      </c>
      <c r="E6" s="17" t="n">
        <f aca="false">calc!$E$6</f>
        <v>10</v>
      </c>
      <c r="F6" s="12" t="n">
        <v>5</v>
      </c>
      <c r="G6" s="26" t="n">
        <f aca="false">calc!$X$6</f>
        <v>5.37754829147848</v>
      </c>
      <c r="H6" s="71" t="n">
        <f aca="false">G6*180/PI()</f>
        <v>308.110821229503</v>
      </c>
      <c r="I6" s="10" t="n">
        <f aca="false">calc!$AW$6</f>
        <v>0.617184489470827</v>
      </c>
      <c r="J6" s="10" t="n">
        <f aca="false">calc!$AX$6</f>
        <v>-0.786818470777495</v>
      </c>
      <c r="K6" s="72" t="n">
        <f aca="false">calc!$AN$6</f>
        <v>193.660153266988</v>
      </c>
    </row>
    <row r="7" customFormat="false" ht="15" hidden="false" customHeight="false" outlineLevel="0" collapsed="false">
      <c r="D7" s="12" t="n">
        <f aca="false">calc!$D$7</f>
        <v>6</v>
      </c>
      <c r="E7" s="17" t="n">
        <f aca="false">calc!$E$7</f>
        <v>10</v>
      </c>
      <c r="F7" s="12" t="n">
        <v>6</v>
      </c>
      <c r="G7" s="26" t="n">
        <f aca="false">calc!$X$7</f>
        <v>5.62651136366993</v>
      </c>
      <c r="H7" s="71" t="n">
        <f aca="false">G7*180/PI()</f>
        <v>322.375354520684</v>
      </c>
      <c r="I7" s="10" t="n">
        <f aca="false">calc!$AW$7</f>
        <v>0.792027119321819</v>
      </c>
      <c r="J7" s="10" t="n">
        <f aca="false">calc!$AX$7</f>
        <v>-0.610485906683178</v>
      </c>
      <c r="K7" s="72" t="n">
        <f aca="false">calc!$AN$7</f>
        <v>194.645800630871</v>
      </c>
    </row>
    <row r="8" customFormat="false" ht="15" hidden="false" customHeight="false" outlineLevel="0" collapsed="false">
      <c r="D8" s="12" t="n">
        <f aca="false">calc!$D$8</f>
        <v>7</v>
      </c>
      <c r="E8" s="17" t="n">
        <f aca="false">calc!$E$8</f>
        <v>10</v>
      </c>
      <c r="F8" s="12" t="n">
        <v>7</v>
      </c>
      <c r="G8" s="26" t="n">
        <f aca="false">calc!$X$8</f>
        <v>5.87473101674149</v>
      </c>
      <c r="H8" s="71" t="n">
        <f aca="false">G8*180/PI()</f>
        <v>336.597293033886</v>
      </c>
      <c r="I8" s="10" t="n">
        <f aca="false">calc!$AW$8</f>
        <v>0.917735861220393</v>
      </c>
      <c r="J8" s="10" t="n">
        <f aca="false">calc!$AX$8</f>
        <v>-0.397191249941465</v>
      </c>
      <c r="K8" s="72" t="n">
        <f aca="false">calc!$AN$8</f>
        <v>195.631447994752</v>
      </c>
    </row>
    <row r="9" customFormat="false" ht="15" hidden="false" customHeight="false" outlineLevel="0" collapsed="false">
      <c r="D9" s="12" t="n">
        <f aca="false">calc!$D$9</f>
        <v>8</v>
      </c>
      <c r="E9" s="17" t="n">
        <f aca="false">calc!$E$9</f>
        <v>10</v>
      </c>
      <c r="F9" s="12" t="n">
        <v>8</v>
      </c>
      <c r="G9" s="26" t="n">
        <f aca="false">calc!$X$9</f>
        <v>6.12095128551742</v>
      </c>
      <c r="H9" s="71" t="n">
        <f aca="false">G9*180/PI()</f>
        <v>350.704675265324</v>
      </c>
      <c r="I9" s="10" t="n">
        <f aca="false">calc!$AW$9</f>
        <v>0.986868899794936</v>
      </c>
      <c r="J9" s="10" t="n">
        <f aca="false">calc!$AX$9</f>
        <v>-0.161523294349557</v>
      </c>
      <c r="K9" s="72" t="n">
        <f aca="false">calc!$AN$9</f>
        <v>196.617095358637</v>
      </c>
    </row>
    <row r="10" customFormat="false" ht="15" hidden="false" customHeight="false" outlineLevel="0" collapsed="false">
      <c r="D10" s="12" t="n">
        <f aca="false">calc!$D$10</f>
        <v>9</v>
      </c>
      <c r="E10" s="17" t="n">
        <f aca="false">calc!$E$10</f>
        <v>10</v>
      </c>
      <c r="F10" s="12" t="n">
        <v>9</v>
      </c>
      <c r="G10" s="26" t="n">
        <f aca="false">calc!$X$10</f>
        <v>0.0806528723827944</v>
      </c>
      <c r="H10" s="71" t="n">
        <f aca="false">G10*180/PI()</f>
        <v>4.62106919314135</v>
      </c>
      <c r="I10" s="10" t="n">
        <f aca="false">calc!$AW$10</f>
        <v>0.996749319770112</v>
      </c>
      <c r="J10" s="10" t="n">
        <f aca="false">calc!$AX$10</f>
        <v>0.0805654611965952</v>
      </c>
      <c r="K10" s="72" t="n">
        <f aca="false">calc!$AN$10</f>
        <v>197.60274272252</v>
      </c>
    </row>
    <row r="11" customFormat="false" ht="15" hidden="false" customHeight="false" outlineLevel="0" collapsed="false">
      <c r="D11" s="12" t="n">
        <f aca="false">calc!$D$11</f>
        <v>10</v>
      </c>
      <c r="E11" s="17" t="n">
        <f aca="false">calc!$E$11</f>
        <v>10</v>
      </c>
      <c r="F11" s="12" t="n">
        <v>10</v>
      </c>
      <c r="G11" s="26" t="n">
        <f aca="false">calc!$X$11</f>
        <v>0.318995663957915</v>
      </c>
      <c r="H11" s="71" t="n">
        <f aca="false">G11*180/PI()</f>
        <v>18.277105227762</v>
      </c>
      <c r="I11" s="10" t="n">
        <f aca="false">calc!$AW$11</f>
        <v>0.949550869821273</v>
      </c>
      <c r="J11" s="10" t="n">
        <f aca="false">calc!$AX$11</f>
        <v>0.313613050783389</v>
      </c>
      <c r="K11" s="72" t="n">
        <f aca="false">calc!$AN$11</f>
        <v>198.588390086406</v>
      </c>
    </row>
    <row r="12" customFormat="false" ht="15" hidden="false" customHeight="false" outlineLevel="0" collapsed="false">
      <c r="D12" s="12" t="n">
        <f aca="false">calc!$D$12</f>
        <v>11</v>
      </c>
      <c r="E12" s="17" t="n">
        <f aca="false">calc!$E$12</f>
        <v>10</v>
      </c>
      <c r="F12" s="12" t="n">
        <v>11</v>
      </c>
      <c r="G12" s="26" t="n">
        <f aca="false">calc!$X$12</f>
        <v>0.551909212617106</v>
      </c>
      <c r="H12" s="71" t="n">
        <f aca="false">G12*180/PI()</f>
        <v>31.6220685573485</v>
      </c>
      <c r="I12" s="10" t="n">
        <f aca="false">calc!$AW$12</f>
        <v>0.85152504784845</v>
      </c>
      <c r="J12" s="10" t="n">
        <f aca="false">calc!$AX$12</f>
        <v>0.524313925894302</v>
      </c>
      <c r="K12" s="72" t="n">
        <f aca="false">calc!$AN$12</f>
        <v>199.574037450289</v>
      </c>
    </row>
    <row r="13" customFormat="false" ht="15" hidden="false" customHeight="false" outlineLevel="0" collapsed="false">
      <c r="D13" s="12" t="n">
        <f aca="false">calc!$D$13</f>
        <v>12</v>
      </c>
      <c r="E13" s="17" t="n">
        <f aca="false">calc!$E$13</f>
        <v>10</v>
      </c>
      <c r="F13" s="12" t="n">
        <v>12</v>
      </c>
      <c r="G13" s="26" t="n">
        <f aca="false">calc!$X$13</f>
        <v>0.778982732042653</v>
      </c>
      <c r="H13" s="71" t="n">
        <f aca="false">G13*180/PI()</f>
        <v>44.6324228596143</v>
      </c>
      <c r="I13" s="10" t="n">
        <f aca="false">calc!$AW$13</f>
        <v>0.711628593668348</v>
      </c>
      <c r="J13" s="10" t="n">
        <f aca="false">calc!$AX$13</f>
        <v>0.702555865873746</v>
      </c>
      <c r="K13" s="72" t="n">
        <f aca="false">calc!$AN$13</f>
        <v>200.559684814176</v>
      </c>
    </row>
    <row r="14" customFormat="false" ht="15" hidden="false" customHeight="false" outlineLevel="0" collapsed="false">
      <c r="D14" s="12" t="n">
        <f aca="false">calc!$D$14</f>
        <v>13</v>
      </c>
      <c r="E14" s="17" t="n">
        <f aca="false">calc!$E$14</f>
        <v>10</v>
      </c>
      <c r="F14" s="12" t="n">
        <v>13</v>
      </c>
      <c r="G14" s="26" t="n">
        <f aca="false">calc!$X$14</f>
        <v>1.00033799509239</v>
      </c>
      <c r="H14" s="71" t="n">
        <f aca="false">G14*180/PI()</f>
        <v>57.3151452053725</v>
      </c>
      <c r="I14" s="10" t="n">
        <f aca="false">calc!$AW$14</f>
        <v>0.540017861948048</v>
      </c>
      <c r="J14" s="10" t="n">
        <f aca="false">calc!$AX$14</f>
        <v>0.841653556267102</v>
      </c>
      <c r="K14" s="72" t="n">
        <f aca="false">calc!$AN$14</f>
        <v>201.545332178061</v>
      </c>
    </row>
    <row r="15" customFormat="false" ht="15" hidden="false" customHeight="false" outlineLevel="0" collapsed="false">
      <c r="D15" s="12" t="n">
        <f aca="false">calc!$D$15</f>
        <v>14</v>
      </c>
      <c r="E15" s="17" t="n">
        <f aca="false">calc!$E$15</f>
        <v>10</v>
      </c>
      <c r="F15" s="12" t="n">
        <v>14</v>
      </c>
      <c r="G15" s="26" t="n">
        <f aca="false">calc!$X$15</f>
        <v>1.21658953437384</v>
      </c>
      <c r="H15" s="71" t="n">
        <f aca="false">G15*180/PI()</f>
        <v>69.705445719407</v>
      </c>
      <c r="I15" s="10" t="n">
        <f aca="false">calc!$AW$15</f>
        <v>0.34684650766433</v>
      </c>
      <c r="J15" s="10" t="n">
        <f aca="false">calc!$AX$15</f>
        <v>0.937921905129131</v>
      </c>
      <c r="K15" s="72" t="n">
        <f aca="false">calc!$AN$15</f>
        <v>202.530979541949</v>
      </c>
    </row>
    <row r="16" customFormat="false" ht="15" hidden="false" customHeight="false" outlineLevel="0" collapsed="false">
      <c r="D16" s="12" t="n">
        <f aca="false">calc!$D$16</f>
        <v>15</v>
      </c>
      <c r="E16" s="17" t="n">
        <f aca="false">calc!$E$16</f>
        <v>10</v>
      </c>
      <c r="F16" s="12" t="n">
        <v>15</v>
      </c>
      <c r="G16" s="26" t="n">
        <f aca="false">calc!$X$16</f>
        <v>1.4287296399372</v>
      </c>
      <c r="H16" s="71" t="n">
        <f aca="false">G16*180/PI()</f>
        <v>81.8601784336473</v>
      </c>
      <c r="I16" s="10" t="n">
        <f aca="false">calc!$AW$16</f>
        <v>0.141589281565291</v>
      </c>
      <c r="J16" s="10" t="n">
        <f aca="false">calc!$AX$16</f>
        <v>0.989925489794977</v>
      </c>
      <c r="K16" s="72" t="n">
        <f aca="false">calc!$AN$16</f>
        <v>203.516626905834</v>
      </c>
    </row>
    <row r="17" customFormat="false" ht="15" hidden="false" customHeight="false" outlineLevel="0" collapsed="false">
      <c r="D17" s="12" t="n">
        <f aca="false">calc!$D$17</f>
        <v>16</v>
      </c>
      <c r="E17" s="17" t="n">
        <f aca="false">calc!$E$17</f>
        <v>10</v>
      </c>
      <c r="F17" s="12" t="n">
        <v>16</v>
      </c>
      <c r="G17" s="26" t="n">
        <f aca="false">calc!$X$17</f>
        <v>1.63798062563695</v>
      </c>
      <c r="H17" s="71" t="n">
        <f aca="false">G17*180/PI()</f>
        <v>93.8493767731956</v>
      </c>
      <c r="I17" s="10" t="n">
        <f aca="false">calc!$AW$17</f>
        <v>-0.0671337682831466</v>
      </c>
      <c r="J17" s="10" t="n">
        <f aca="false">calc!$AX$17</f>
        <v>0.997743983773445</v>
      </c>
      <c r="K17" s="72" t="n">
        <f aca="false">calc!$AN$17</f>
        <v>204.50227426972</v>
      </c>
    </row>
    <row r="18" customFormat="false" ht="15" hidden="false" customHeight="false" outlineLevel="0" collapsed="false">
      <c r="D18" s="12" t="n">
        <f aca="false">calc!$D$18</f>
        <v>17</v>
      </c>
      <c r="E18" s="17" t="n">
        <f aca="false">calc!$E$18</f>
        <v>10</v>
      </c>
      <c r="F18" s="12" t="n">
        <v>17</v>
      </c>
      <c r="G18" s="26" t="n">
        <f aca="false">calc!$X$18</f>
        <v>1.8456591573816</v>
      </c>
      <c r="H18" s="71" t="n">
        <f aca="false">G18*180/PI()</f>
        <v>105.748480137638</v>
      </c>
      <c r="I18" s="10" t="n">
        <f aca="false">calc!$AW$18</f>
        <v>-0.27141491910219</v>
      </c>
      <c r="J18" s="10" t="n">
        <f aca="false">calc!$AX$18</f>
        <v>0.962462436507915</v>
      </c>
      <c r="K18" s="72" t="n">
        <f aca="false">calc!$AN$18</f>
        <v>205.487921633607</v>
      </c>
    </row>
    <row r="19" customFormat="false" ht="15" hidden="false" customHeight="false" outlineLevel="0" collapsed="false">
      <c r="D19" s="12" t="n">
        <f aca="false">calc!$D$19</f>
        <v>18</v>
      </c>
      <c r="E19" s="17" t="n">
        <f aca="false">calc!$E$19</f>
        <v>10</v>
      </c>
      <c r="F19" s="12" t="n">
        <v>18</v>
      </c>
      <c r="G19" s="26" t="n">
        <f aca="false">calc!$X$19</f>
        <v>2.05308272375291</v>
      </c>
      <c r="H19" s="71" t="n">
        <f aca="false">G19*180/PI()</f>
        <v>117.632975062265</v>
      </c>
      <c r="I19" s="10" t="n">
        <f aca="false">calc!$AW$19</f>
        <v>-0.463805989267313</v>
      </c>
      <c r="J19" s="10" t="n">
        <f aca="false">calc!$AX$19</f>
        <v>0.885936794765727</v>
      </c>
      <c r="K19" s="72" t="n">
        <f aca="false">calc!$AN$19</f>
        <v>206.473568997493</v>
      </c>
    </row>
    <row r="20" customFormat="false" ht="15" hidden="false" customHeight="false" outlineLevel="0" collapsed="false">
      <c r="D20" s="12" t="n">
        <f aca="false">calc!$D$20</f>
        <v>19</v>
      </c>
      <c r="E20" s="17" t="n">
        <f aca="false">calc!$E$20</f>
        <v>10</v>
      </c>
      <c r="F20" s="12" t="n">
        <v>19</v>
      </c>
      <c r="G20" s="26" t="n">
        <f aca="false">calc!$X$20</f>
        <v>2.26152369584113</v>
      </c>
      <c r="H20" s="71" t="n">
        <f aca="false">G20*180/PI()</f>
        <v>129.575763040524</v>
      </c>
      <c r="I20" s="10" t="n">
        <f aca="false">calc!$AW$20</f>
        <v>-0.637097994265842</v>
      </c>
      <c r="J20" s="10" t="n">
        <f aca="false">calc!$AX$20</f>
        <v>0.770782813574902</v>
      </c>
      <c r="K20" s="72" t="n">
        <f aca="false">calc!$AN$20</f>
        <v>207.459216361383</v>
      </c>
    </row>
    <row r="21" customFormat="false" ht="15" hidden="false" customHeight="false" outlineLevel="0" collapsed="false">
      <c r="D21" s="12" t="n">
        <f aca="false">calc!$D$21</f>
        <v>20</v>
      </c>
      <c r="E21" s="17" t="n">
        <f aca="false">calc!$E$21</f>
        <v>10</v>
      </c>
      <c r="F21" s="12" t="n">
        <v>20</v>
      </c>
      <c r="G21" s="26" t="n">
        <f aca="false">calc!$X$21</f>
        <v>2.47219273779725</v>
      </c>
      <c r="H21" s="71" t="n">
        <f aca="false">G21*180/PI()</f>
        <v>141.646210018675</v>
      </c>
      <c r="I21" s="10" t="n">
        <f aca="false">calc!$AW$21</f>
        <v>-0.784194168614856</v>
      </c>
      <c r="J21" s="10" t="n">
        <f aca="false">calc!$AX$21</f>
        <v>0.620515516252781</v>
      </c>
      <c r="K21" s="72" t="n">
        <f aca="false">calc!$AN$21</f>
        <v>208.444863725274</v>
      </c>
    </row>
    <row r="22" customFormat="false" ht="15" hidden="false" customHeight="false" outlineLevel="0" collapsed="false">
      <c r="D22" s="12" t="n">
        <f aca="false">calc!$D$22</f>
        <v>21</v>
      </c>
      <c r="E22" s="17" t="n">
        <f aca="false">calc!$E$22</f>
        <v>10</v>
      </c>
      <c r="F22" s="12" t="n">
        <v>21</v>
      </c>
      <c r="G22" s="26" t="n">
        <f aca="false">calc!$X$22</f>
        <v>2.68622068070059</v>
      </c>
      <c r="H22" s="71" t="n">
        <f aca="false">G22*180/PI()</f>
        <v>153.909107844903</v>
      </c>
      <c r="I22" s="10" t="n">
        <f aca="false">calc!$AW$22</f>
        <v>-0.898097497972349</v>
      </c>
      <c r="J22" s="10" t="n">
        <f aca="false">calc!$AX$22</f>
        <v>0.439796412145218</v>
      </c>
      <c r="K22" s="72" t="n">
        <f aca="false">calc!$AN$22</f>
        <v>209.430511089164</v>
      </c>
    </row>
    <row r="23" customFormat="false" ht="15" hidden="false" customHeight="false" outlineLevel="0" collapsed="false">
      <c r="D23" s="12" t="n">
        <f aca="false">calc!$D$23</f>
        <v>22</v>
      </c>
      <c r="E23" s="17" t="n">
        <f aca="false">calc!$E$23</f>
        <v>10</v>
      </c>
      <c r="F23" s="12" t="n">
        <v>22</v>
      </c>
      <c r="G23" s="26" t="n">
        <f aca="false">calc!$X$23</f>
        <v>2.90461150508727</v>
      </c>
      <c r="H23" s="71" t="n">
        <f aca="false">G23*180/PI()</f>
        <v>166.421980366643</v>
      </c>
      <c r="I23" s="10" t="n">
        <f aca="false">calc!$AW$23</f>
        <v>-0.972051136568173</v>
      </c>
      <c r="J23" s="10" t="n">
        <f aca="false">calc!$AX$23</f>
        <v>0.234769222634748</v>
      </c>
      <c r="K23" s="72" t="n">
        <f aca="false">calc!$AN$23</f>
        <v>210.416158453054</v>
      </c>
    </row>
    <row r="24" customFormat="false" ht="15" hidden="false" customHeight="false" outlineLevel="0" collapsed="false">
      <c r="D24" s="12" t="n">
        <f aca="false">calc!$D$24</f>
        <v>23</v>
      </c>
      <c r="E24" s="17" t="n">
        <f aca="false">calc!$E$24</f>
        <v>10</v>
      </c>
      <c r="F24" s="12" t="n">
        <v>23</v>
      </c>
      <c r="G24" s="26" t="n">
        <f aca="false">calc!$X$24</f>
        <v>3.12815691403388</v>
      </c>
      <c r="H24" s="71" t="n">
        <f aca="false">G24*180/PI()</f>
        <v>179.230188828809</v>
      </c>
      <c r="I24" s="10" t="n">
        <f aca="false">calc!$AW$24</f>
        <v>-0.999909741809082</v>
      </c>
      <c r="J24" s="10" t="n">
        <f aca="false">calc!$AX$24</f>
        <v>0.013435335324963</v>
      </c>
      <c r="K24" s="72" t="n">
        <f aca="false">calc!$AN$24</f>
        <v>211.401805816944</v>
      </c>
    </row>
    <row r="25" customFormat="false" ht="15" hidden="false" customHeight="false" outlineLevel="0" collapsed="false">
      <c r="D25" s="12" t="n">
        <f aca="false">calc!$D$25</f>
        <v>24</v>
      </c>
      <c r="E25" s="17" t="n">
        <f aca="false">calc!$E$25</f>
        <v>10</v>
      </c>
      <c r="F25" s="12" t="n">
        <v>24</v>
      </c>
      <c r="G25" s="26" t="n">
        <f aca="false">calc!$X$25</f>
        <v>3.35732706347172</v>
      </c>
      <c r="H25" s="71" t="n">
        <f aca="false">G25*180/PI()</f>
        <v>192.36067118198</v>
      </c>
      <c r="I25" s="10" t="n">
        <f aca="false">calc!$AW$25</f>
        <v>-0.976819446291376</v>
      </c>
      <c r="J25" s="10" t="n">
        <f aca="false">calc!$AX$25</f>
        <v>-0.214064871819293</v>
      </c>
      <c r="K25" s="72" t="n">
        <f aca="false">calc!$AN$25</f>
        <v>212.387453180836</v>
      </c>
    </row>
    <row r="26" customFormat="false" ht="15" hidden="false" customHeight="false" outlineLevel="0" collapsed="false">
      <c r="D26" s="12" t="n">
        <f aca="false">calc!$D$26</f>
        <v>25</v>
      </c>
      <c r="E26" s="17" t="n">
        <f aca="false">calc!$E$26</f>
        <v>10</v>
      </c>
      <c r="F26" s="12" t="n">
        <v>25</v>
      </c>
      <c r="G26" s="26" t="n">
        <f aca="false">calc!$X$26</f>
        <v>3.59217152657438</v>
      </c>
      <c r="H26" s="71" t="n">
        <f aca="false">G26*180/PI()</f>
        <v>205.816267759778</v>
      </c>
      <c r="I26" s="10" t="n">
        <f aca="false">calc!$AW$26</f>
        <v>-0.900195161702641</v>
      </c>
      <c r="J26" s="10" t="n">
        <f aca="false">calc!$AX$26</f>
        <v>-0.435486705706564</v>
      </c>
      <c r="K26" s="72" t="n">
        <f aca="false">calc!$AN$26</f>
        <v>213.373100544726</v>
      </c>
    </row>
    <row r="27" customFormat="false" ht="15" hidden="false" customHeight="false" outlineLevel="0" collapsed="false">
      <c r="D27" s="12" t="n">
        <f aca="false">calc!$D$27</f>
        <v>26</v>
      </c>
      <c r="E27" s="17" t="n">
        <f aca="false">calc!$E$27</f>
        <v>10</v>
      </c>
      <c r="F27" s="12" t="n">
        <v>26</v>
      </c>
      <c r="G27" s="26" t="n">
        <f aca="false">calc!$X$27</f>
        <v>3.83227047265723</v>
      </c>
      <c r="H27" s="71" t="n">
        <f aca="false">G27*180/PI()</f>
        <v>219.572924035865</v>
      </c>
      <c r="I27" s="10" t="n">
        <f aca="false">calc!$AW$27</f>
        <v>-0.770814380820779</v>
      </c>
      <c r="J27" s="10" t="n">
        <f aca="false">calc!$AX$27</f>
        <v>-0.637059801211691</v>
      </c>
      <c r="K27" s="72" t="n">
        <f aca="false">calc!$AN$27</f>
        <v>214.358747908616</v>
      </c>
    </row>
    <row r="28" customFormat="false" ht="15" hidden="false" customHeight="false" outlineLevel="0" collapsed="false">
      <c r="D28" s="12" t="n">
        <f aca="false">calc!$D$28</f>
        <v>27</v>
      </c>
      <c r="E28" s="17" t="n">
        <f aca="false">calc!$E$28</f>
        <v>10</v>
      </c>
      <c r="F28" s="12" t="n">
        <v>27</v>
      </c>
      <c r="G28" s="26" t="n">
        <f aca="false">calc!$X$28</f>
        <v>4.07676491741357</v>
      </c>
      <c r="H28" s="71" t="n">
        <f aca="false">G28*180/PI()</f>
        <v>233.581423834797</v>
      </c>
      <c r="I28" s="10" t="n">
        <f aca="false">calc!$AW$28</f>
        <v>-0.593679814250214</v>
      </c>
      <c r="J28" s="10" t="n">
        <f aca="false">calc!$AX$28</f>
        <v>-0.804701359606054</v>
      </c>
      <c r="K28" s="72" t="n">
        <f aca="false">calc!$AN$28</f>
        <v>215.344395272508</v>
      </c>
    </row>
    <row r="29" customFormat="false" ht="15" hidden="false" customHeight="false" outlineLevel="0" collapsed="false">
      <c r="D29" s="12" t="n">
        <f aca="false">calc!$D$29</f>
        <v>28</v>
      </c>
      <c r="E29" s="17" t="n">
        <f aca="false">calc!$E$29</f>
        <v>10</v>
      </c>
      <c r="F29" s="55" t="n">
        <v>28</v>
      </c>
      <c r="G29" s="26" t="n">
        <f aca="false">calc!$X$29</f>
        <v>4.32447044334845</v>
      </c>
      <c r="H29" s="76" t="n">
        <f aca="false">G29*180/PI()</f>
        <v>247.773905032934</v>
      </c>
      <c r="I29" s="40" t="n">
        <f aca="false">calc!$AW$29</f>
        <v>-0.378262428979756</v>
      </c>
      <c r="J29" s="40" t="n">
        <f aca="false">calc!$AX$29</f>
        <v>-0.925698403813216</v>
      </c>
      <c r="K29" s="72" t="n">
        <f aca="false">calc!$AN$29</f>
        <v>216.330042636402</v>
      </c>
    </row>
    <row r="30" customFormat="false" ht="15" hidden="false" customHeight="false" outlineLevel="0" collapsed="false">
      <c r="D30" s="12" t="n">
        <f aca="false">calc!$D$30</f>
        <v>29</v>
      </c>
      <c r="E30" s="12" t="n">
        <f aca="false">calc!$E$30</f>
        <v>10</v>
      </c>
      <c r="F30" s="12" t="n">
        <v>29</v>
      </c>
      <c r="G30" s="26" t="n">
        <f aca="false">calc!$X$30</f>
        <v>4.5740503653381</v>
      </c>
      <c r="H30" s="71" t="n">
        <f aca="false">G30*180/PI()</f>
        <v>262.073781214146</v>
      </c>
      <c r="I30" s="77" t="n">
        <f aca="false">calc!$AW$30</f>
        <v>-0.13789779286091</v>
      </c>
      <c r="J30" s="77" t="n">
        <f aca="false">calc!$AX$30</f>
        <v>-0.990446464340244</v>
      </c>
      <c r="K30" s="72" t="n">
        <f aca="false">calc!$AN$30</f>
        <v>217.315690000296</v>
      </c>
    </row>
    <row r="31" customFormat="false" ht="15" hidden="false" customHeight="false" outlineLevel="0" collapsed="false">
      <c r="D31" s="12" t="n">
        <f aca="false">calc!$D$31</f>
        <v>30</v>
      </c>
      <c r="E31" s="12" t="n">
        <f aca="false">calc!$E$31</f>
        <v>10</v>
      </c>
      <c r="F31" s="12" t="n">
        <v>30</v>
      </c>
      <c r="G31" s="26" t="n">
        <f aca="false">calc!$X$31</f>
        <v>4.82420317947077</v>
      </c>
      <c r="H31" s="71" t="n">
        <f aca="false">G31*180/PI()</f>
        <v>276.406481697268</v>
      </c>
      <c r="I31" s="77" t="n">
        <f aca="false">calc!$AW$31</f>
        <v>0.111581353434907</v>
      </c>
      <c r="J31" s="77" t="n">
        <f aca="false">calc!$AX$31</f>
        <v>-0.993755302660386</v>
      </c>
      <c r="K31" s="72" t="n">
        <f aca="false">calc!$AN$31</f>
        <v>218.301337364186</v>
      </c>
    </row>
    <row r="32" customFormat="false" ht="15" hidden="false" customHeight="false" outlineLevel="0" collapsed="false">
      <c r="D32" s="12" t="n">
        <f aca="false">calc!$D$32</f>
        <v>31</v>
      </c>
      <c r="E32" s="12" t="n">
        <f aca="false">calc!$E$32</f>
        <v>10</v>
      </c>
      <c r="F32" s="12" t="n">
        <v>31</v>
      </c>
      <c r="G32" s="26" t="n">
        <f aca="false">calc!$X$32</f>
        <v>5.07381383513198</v>
      </c>
      <c r="H32" s="71" t="n">
        <f aca="false">G32*180/PI()</f>
        <v>290.708118788149</v>
      </c>
      <c r="I32" s="77" t="n">
        <f aca="false">calc!$AW$32</f>
        <v>0.353607392260604</v>
      </c>
      <c r="J32" s="77" t="n">
        <f aca="false">calc!$AX$32</f>
        <v>-0.935393934200268</v>
      </c>
      <c r="K32" s="72" t="n">
        <f aca="false">calc!$AN$32</f>
        <v>219.286984728082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32"/>
  <sheetViews>
    <sheetView showFormulas="false" showGridLines="true" showRowColHeaders="true" showZeros="true" rightToLeft="false" tabSelected="false" showOutlineSymbols="true" defaultGridColor="true" view="normal" topLeftCell="D23" colorId="64" zoomScale="100" zoomScaleNormal="100" zoomScalePageLayoutView="100" workbookViewId="0">
      <selection pane="topLeft" activeCell="L36" activeCellId="0" sqref="L36"/>
    </sheetView>
  </sheetViews>
  <sheetFormatPr defaultColWidth="9.625" defaultRowHeight="15" zeroHeight="false" outlineLevelRow="0" outlineLevelCol="0"/>
  <cols>
    <col collapsed="false" customWidth="true" hidden="false" outlineLevel="0" max="2" min="2" style="0" width="6.94"/>
    <col collapsed="false" customWidth="true" hidden="false" outlineLevel="0" max="3" min="3" style="0" width="9.02"/>
    <col collapsed="false" customWidth="true" hidden="false" outlineLevel="0" max="4" min="4" style="12" width="6.46"/>
    <col collapsed="false" customWidth="true" hidden="false" outlineLevel="0" max="5" min="5" style="12" width="7.43"/>
    <col collapsed="false" customWidth="true" hidden="false" outlineLevel="0" max="6" min="6" style="12" width="5.6"/>
    <col collapsed="false" customWidth="true" hidden="false" outlineLevel="0" max="7" min="7" style="12" width="7.43"/>
    <col collapsed="false" customWidth="true" hidden="false" outlineLevel="0" max="8" min="8" style="12" width="7.92"/>
    <col collapsed="false" customWidth="true" hidden="false" outlineLevel="0" max="9" min="9" style="15" width="7.92"/>
    <col collapsed="false" customWidth="true" hidden="false" outlineLevel="0" max="10" min="10" style="78" width="7.8"/>
    <col collapsed="false" customWidth="true" hidden="false" outlineLevel="0" max="11" min="11" style="10" width="8.29"/>
    <col collapsed="false" customWidth="false" hidden="false" outlineLevel="0" max="12" min="12" style="12" width="9.63"/>
  </cols>
  <sheetData>
    <row r="1" customFormat="false" ht="15" hidden="false" customHeight="false" outlineLevel="0" collapsed="false">
      <c r="A1" s="60" t="str">
        <f aca="false">orbit!$A$1</f>
        <v>UT</v>
      </c>
      <c r="B1" s="60" t="str">
        <f aca="false">orbit!$B$1</f>
        <v>Month</v>
      </c>
      <c r="C1" s="60" t="str">
        <f aca="false">orbit!$C$1</f>
        <v>Year</v>
      </c>
      <c r="D1" s="55" t="str">
        <f aca="false">'distance declin  RA'!$G$1</f>
        <v>Date</v>
      </c>
      <c r="E1" s="55" t="str">
        <f aca="false">'distance declin  RA'!$H$1</f>
        <v>Month</v>
      </c>
      <c r="F1" s="55" t="str">
        <f aca="false">'distance declin  RA'!$I$1</f>
        <v>Day</v>
      </c>
      <c r="G1" s="61" t="str">
        <f aca="false">orbit!$H$1</f>
        <v>Lm</v>
      </c>
      <c r="H1" s="61" t="str">
        <f aca="false">calc!$AU$1</f>
        <v>∆L/day</v>
      </c>
      <c r="I1" s="79" t="str">
        <f aca="false">calc!$Z$1</f>
        <v>Bm</v>
      </c>
      <c r="J1" s="80" t="str">
        <f aca="false">calc!$AN$1</f>
        <v>Lsun</v>
      </c>
      <c r="K1" s="40" t="s">
        <v>84</v>
      </c>
      <c r="L1" s="55" t="str">
        <f aca="false">'distance declin  RA'!$J$1</f>
        <v>R / km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customFormat="false" ht="15" hidden="false" customHeight="false" outlineLevel="0" collapsed="false">
      <c r="A2" s="81" t="n">
        <f aca="false">orbit!$A$2</f>
        <v>0</v>
      </c>
      <c r="B2" s="58" t="n">
        <f aca="false">orbit!$B$2</f>
        <v>10</v>
      </c>
      <c r="C2" s="58" t="n">
        <f aca="false">orbit!$C$2</f>
        <v>2022</v>
      </c>
      <c r="D2" s="12" t="n">
        <f aca="false">'distance declin  RA'!$G$2</f>
        <v>1</v>
      </c>
      <c r="E2" s="17" t="n">
        <f aca="false">'distance declin  RA'!$H$2</f>
        <v>10</v>
      </c>
      <c r="F2" s="17" t="n">
        <f aca="false">'distance declin  RA'!$I$2</f>
        <v>1</v>
      </c>
      <c r="G2" s="76" t="n">
        <f aca="false">orbit!$H$2</f>
        <v>251.57947639492</v>
      </c>
      <c r="H2" s="76"/>
      <c r="I2" s="76" t="n">
        <f aca="false">calc!$Z$2</f>
        <v>-2.4308103329961</v>
      </c>
      <c r="J2" s="78" t="n">
        <f aca="false">calc!$AN$2</f>
        <v>189.717563811462</v>
      </c>
      <c r="K2" s="10" t="n">
        <f aca="false">10*I2</f>
        <v>-24.308103329961</v>
      </c>
      <c r="L2" s="51" t="n">
        <f aca="false">'distance declin  RA'!$J$2</f>
        <v>372864.071469498</v>
      </c>
    </row>
    <row r="3" customFormat="false" ht="15" hidden="false" customHeight="false" outlineLevel="0" collapsed="false">
      <c r="A3" s="58"/>
      <c r="B3" s="58"/>
      <c r="C3" s="58"/>
      <c r="D3" s="12" t="n">
        <f aca="false">'distance declin  RA'!$G$3</f>
        <v>2</v>
      </c>
      <c r="E3" s="17" t="n">
        <f aca="false">'distance declin  RA'!$H$3</f>
        <v>10</v>
      </c>
      <c r="F3" s="17" t="n">
        <f aca="false">'distance declin  RA'!$I$3</f>
        <v>2</v>
      </c>
      <c r="G3" s="15" t="n">
        <f aca="false">orbit!$H$3</f>
        <v>265.573057657448</v>
      </c>
      <c r="H3" s="15" t="n">
        <f aca="false">calc!$AU$3</f>
        <v>13.9935812625279</v>
      </c>
      <c r="I3" s="15" t="n">
        <f aca="false">calc!$Z$3</f>
        <v>-3.47241943770793</v>
      </c>
      <c r="J3" s="78" t="n">
        <f aca="false">calc!$AN$3</f>
        <v>190.703211175343</v>
      </c>
      <c r="K3" s="10" t="n">
        <f aca="false">10*I3</f>
        <v>-34.7241943770793</v>
      </c>
      <c r="L3" s="51" t="n">
        <f aca="false">'distance declin  RA'!$J$3</f>
        <v>371280.156240906</v>
      </c>
    </row>
    <row r="4" customFormat="false" ht="15" hidden="false" customHeight="false" outlineLevel="0" collapsed="false">
      <c r="A4" s="58"/>
      <c r="B4" s="58"/>
      <c r="C4" s="75" t="str">
        <f aca="false">'elev az illum'!$E$3</f>
        <v>common year</v>
      </c>
      <c r="D4" s="12" t="n">
        <f aca="false">'distance declin  RA'!$G$4</f>
        <v>3</v>
      </c>
      <c r="E4" s="17" t="n">
        <f aca="false">'distance declin  RA'!$H$4</f>
        <v>10</v>
      </c>
      <c r="F4" s="17" t="n">
        <f aca="false">'distance declin  RA'!$I$4</f>
        <v>3</v>
      </c>
      <c r="G4" s="15" t="n">
        <f aca="false">orbit!$H$4</f>
        <v>279.674030475907</v>
      </c>
      <c r="H4" s="15" t="n">
        <f aca="false">calc!$AU$4</f>
        <v>14.1009728184587</v>
      </c>
      <c r="I4" s="15" t="n">
        <f aca="false">calc!$Z$4</f>
        <v>-4.31189163161484</v>
      </c>
      <c r="J4" s="78" t="n">
        <f aca="false">calc!$AN$4</f>
        <v>191.688858539224</v>
      </c>
      <c r="K4" s="10" t="n">
        <f aca="false">10*I4</f>
        <v>-43.1189163161484</v>
      </c>
      <c r="L4" s="51" t="n">
        <f aca="false">'distance declin  RA'!$J$4</f>
        <v>370135.931121461</v>
      </c>
    </row>
    <row r="5" customFormat="false" ht="15" hidden="false" customHeight="false" outlineLevel="0" collapsed="false">
      <c r="D5" s="12" t="n">
        <f aca="false">'distance declin  RA'!$G$5</f>
        <v>4</v>
      </c>
      <c r="E5" s="17" t="n">
        <f aca="false">'distance declin  RA'!$H$5</f>
        <v>10</v>
      </c>
      <c r="F5" s="17" t="n">
        <f aca="false">'distance declin  RA'!$I$5</f>
        <v>4</v>
      </c>
      <c r="G5" s="15" t="n">
        <f aca="false">orbit!$H$5</f>
        <v>293.862769751099</v>
      </c>
      <c r="H5" s="15" t="n">
        <f aca="false">calc!$AU$5</f>
        <v>14.1887392751923</v>
      </c>
      <c r="I5" s="15" t="n">
        <f aca="false">calc!$Z$5</f>
        <v>-4.89345979091708</v>
      </c>
      <c r="J5" s="78" t="n">
        <f aca="false">calc!$AN$5</f>
        <v>192.674505903105</v>
      </c>
      <c r="K5" s="10" t="n">
        <f aca="false">10*I5</f>
        <v>-48.9345979091708</v>
      </c>
      <c r="L5" s="51" t="n">
        <f aca="false">'distance declin  RA'!$J$5</f>
        <v>369469.835110635</v>
      </c>
    </row>
    <row r="6" customFormat="false" ht="15" hidden="false" customHeight="false" outlineLevel="0" collapsed="false">
      <c r="D6" s="12" t="n">
        <f aca="false">'distance declin  RA'!$G$6</f>
        <v>5</v>
      </c>
      <c r="E6" s="17" t="n">
        <f aca="false">'distance declin  RA'!$H$6</f>
        <v>10</v>
      </c>
      <c r="F6" s="17" t="n">
        <f aca="false">'distance declin  RA'!$I$6</f>
        <v>5</v>
      </c>
      <c r="G6" s="15" t="n">
        <f aca="false">orbit!$H$6</f>
        <v>308.110821229503</v>
      </c>
      <c r="H6" s="15" t="n">
        <f aca="false">calc!$AU$6</f>
        <v>14.2480514784044</v>
      </c>
      <c r="I6" s="15" t="n">
        <f aca="false">calc!$Z$6</f>
        <v>-5.17731046224389</v>
      </c>
      <c r="J6" s="78" t="n">
        <f aca="false">calc!$AN$6</f>
        <v>193.660153266988</v>
      </c>
      <c r="K6" s="10" t="n">
        <f aca="false">10*I6</f>
        <v>-51.7731046224389</v>
      </c>
      <c r="L6" s="51" t="n">
        <f aca="false">'distance declin  RA'!$J$6</f>
        <v>369358.168557707</v>
      </c>
    </row>
    <row r="7" customFormat="false" ht="15" hidden="false" customHeight="false" outlineLevel="0" collapsed="false">
      <c r="D7" s="12" t="n">
        <f aca="false">'distance declin  RA'!$G$7</f>
        <v>6</v>
      </c>
      <c r="E7" s="17" t="n">
        <f aca="false">'distance declin  RA'!$H$7</f>
        <v>10</v>
      </c>
      <c r="F7" s="17" t="n">
        <f aca="false">'distance declin  RA'!$I$7</f>
        <v>6</v>
      </c>
      <c r="G7" s="15" t="n">
        <f aca="false">orbit!$H$7</f>
        <v>322.375354520684</v>
      </c>
      <c r="H7" s="15" t="n">
        <f aca="false">calc!$AU$7</f>
        <v>14.264533291181</v>
      </c>
      <c r="I7" s="15" t="n">
        <f aca="false">calc!$Z$7</f>
        <v>-5.14340962238135</v>
      </c>
      <c r="J7" s="78" t="n">
        <f aca="false">calc!$AN$7</f>
        <v>194.645800630871</v>
      </c>
      <c r="K7" s="10" t="n">
        <f aca="false">10*I7</f>
        <v>-51.4340962238135</v>
      </c>
      <c r="L7" s="51" t="n">
        <f aca="false">'distance declin  RA'!$J$7</f>
        <v>369903.130398636</v>
      </c>
    </row>
    <row r="8" customFormat="false" ht="15" hidden="false" customHeight="false" outlineLevel="0" collapsed="false">
      <c r="D8" s="12" t="n">
        <f aca="false">'distance declin  RA'!$G$8</f>
        <v>7</v>
      </c>
      <c r="E8" s="17" t="n">
        <f aca="false">'distance declin  RA'!$H$8</f>
        <v>10</v>
      </c>
      <c r="F8" s="17" t="n">
        <f aca="false">'distance declin  RA'!$I$8</f>
        <v>7</v>
      </c>
      <c r="G8" s="15" t="n">
        <f aca="false">orbit!$H$8</f>
        <v>336.597293033886</v>
      </c>
      <c r="H8" s="15" t="n">
        <f aca="false">calc!$AU$8</f>
        <v>14.2219385132018</v>
      </c>
      <c r="I8" s="15" t="n">
        <f aca="false">calc!$Z$8</f>
        <v>-4.79457675224573</v>
      </c>
      <c r="J8" s="78" t="n">
        <f aca="false">calc!$AN$8</f>
        <v>195.631447994752</v>
      </c>
      <c r="K8" s="10" t="n">
        <f aca="false">10*I8</f>
        <v>-47.9457675224573</v>
      </c>
      <c r="L8" s="51" t="n">
        <f aca="false">'distance declin  RA'!$J$8</f>
        <v>371206.952623731</v>
      </c>
    </row>
    <row r="9" customFormat="false" ht="15" hidden="false" customHeight="false" outlineLevel="0" collapsed="false">
      <c r="D9" s="12" t="n">
        <f aca="false">'distance declin  RA'!$G$9</f>
        <v>8</v>
      </c>
      <c r="E9" s="17" t="n">
        <f aca="false">'distance declin  RA'!$H$9</f>
        <v>10</v>
      </c>
      <c r="F9" s="17" t="n">
        <f aca="false">'distance declin  RA'!$I$9</f>
        <v>8</v>
      </c>
      <c r="G9" s="15" t="n">
        <f aca="false">orbit!$H$9</f>
        <v>350.704675265324</v>
      </c>
      <c r="H9" s="15" t="n">
        <f aca="false">calc!$AU$9</f>
        <v>14.1073822314375</v>
      </c>
      <c r="I9" s="15" t="n">
        <f aca="false">calc!$Z$9</f>
        <v>-4.15761074534745</v>
      </c>
      <c r="J9" s="78" t="n">
        <f aca="false">calc!$AN$9</f>
        <v>196.617095358637</v>
      </c>
      <c r="K9" s="10" t="n">
        <f aca="false">10*I9</f>
        <v>-41.5761074534745</v>
      </c>
      <c r="L9" s="51" t="n">
        <f aca="false">'distance declin  RA'!$J$9</f>
        <v>373337.568290348</v>
      </c>
    </row>
    <row r="10" customFormat="false" ht="15" hidden="false" customHeight="false" outlineLevel="0" collapsed="false">
      <c r="D10" s="12" t="n">
        <f aca="false">'distance declin  RA'!$G$10</f>
        <v>9</v>
      </c>
      <c r="E10" s="17" t="n">
        <f aca="false">'distance declin  RA'!$H$10</f>
        <v>10</v>
      </c>
      <c r="F10" s="17" t="n">
        <f aca="false">'distance declin  RA'!$I$10</f>
        <v>9</v>
      </c>
      <c r="G10" s="15" t="n">
        <f aca="false">orbit!$H$10</f>
        <v>4.62106919314135</v>
      </c>
      <c r="H10" s="15" t="n">
        <f aca="false">calc!$AU$10</f>
        <v>13.9163939278177</v>
      </c>
      <c r="I10" s="15" t="n">
        <f aca="false">calc!$Z$10</f>
        <v>-3.2811565888454</v>
      </c>
      <c r="J10" s="78" t="n">
        <f aca="false">calc!$AN$10</f>
        <v>197.60274272252</v>
      </c>
      <c r="K10" s="10" t="n">
        <f aca="false">10*I10</f>
        <v>-32.811565888454</v>
      </c>
      <c r="L10" s="51" t="n">
        <f aca="false">'distance declin  RA'!$J$10</f>
        <v>376294.646632273</v>
      </c>
    </row>
    <row r="11" customFormat="false" ht="15" hidden="false" customHeight="false" outlineLevel="0" collapsed="false">
      <c r="D11" s="12" t="n">
        <f aca="false">'distance declin  RA'!$G$11</f>
        <v>10</v>
      </c>
      <c r="E11" s="17" t="n">
        <f aca="false">'distance declin  RA'!$H$11</f>
        <v>10</v>
      </c>
      <c r="F11" s="17" t="n">
        <f aca="false">'distance declin  RA'!$I$11</f>
        <v>10</v>
      </c>
      <c r="G11" s="15" t="n">
        <f aca="false">orbit!$H$11</f>
        <v>18.277105227762</v>
      </c>
      <c r="H11" s="15" t="n">
        <f aca="false">calc!$AU$11</f>
        <v>13.6560360346206</v>
      </c>
      <c r="I11" s="15" t="n">
        <f aca="false">calc!$Z$11</f>
        <v>-2.22990818457164</v>
      </c>
      <c r="J11" s="78" t="n">
        <f aca="false">calc!$AN$11</f>
        <v>198.588390086406</v>
      </c>
      <c r="K11" s="10" t="n">
        <f aca="false">10*I11</f>
        <v>-22.2990818457164</v>
      </c>
      <c r="L11" s="51" t="n">
        <f aca="false">'distance declin  RA'!$J$11</f>
        <v>379986.128348195</v>
      </c>
    </row>
    <row r="12" customFormat="false" ht="15" hidden="false" customHeight="false" outlineLevel="0" collapsed="false">
      <c r="D12" s="12" t="n">
        <f aca="false">'distance declin  RA'!$G$12</f>
        <v>11</v>
      </c>
      <c r="E12" s="17" t="n">
        <f aca="false">'distance declin  RA'!$H$12</f>
        <v>10</v>
      </c>
      <c r="F12" s="17" t="n">
        <f aca="false">'distance declin  RA'!$I$12</f>
        <v>11</v>
      </c>
      <c r="G12" s="15" t="n">
        <f aca="false">orbit!$H$12</f>
        <v>31.6220685573485</v>
      </c>
      <c r="H12" s="15" t="n">
        <f aca="false">calc!$AU$12</f>
        <v>13.3449633295866</v>
      </c>
      <c r="I12" s="15" t="n">
        <f aca="false">calc!$Z$12</f>
        <v>-1.0762440743104</v>
      </c>
      <c r="J12" s="78" t="n">
        <f aca="false">calc!$AN$12</f>
        <v>199.574037450289</v>
      </c>
      <c r="K12" s="10" t="n">
        <f aca="false">10*I12</f>
        <v>-10.762440743104</v>
      </c>
      <c r="L12" s="51" t="n">
        <f aca="false">'distance declin  RA'!$J$12</f>
        <v>384222.934828096</v>
      </c>
    </row>
    <row r="13" customFormat="false" ht="15" hidden="false" customHeight="false" outlineLevel="0" collapsed="false">
      <c r="D13" s="12" t="n">
        <f aca="false">'distance declin  RA'!$G$13</f>
        <v>12</v>
      </c>
      <c r="E13" s="17" t="n">
        <f aca="false">'distance declin  RA'!$H$13</f>
        <v>10</v>
      </c>
      <c r="F13" s="17" t="n">
        <f aca="false">'distance declin  RA'!$I$13</f>
        <v>12</v>
      </c>
      <c r="G13" s="15" t="n">
        <f aca="false">orbit!$H$13</f>
        <v>44.6324228596143</v>
      </c>
      <c r="H13" s="15" t="n">
        <f aca="false">calc!$AU$13</f>
        <v>13.0103543022658</v>
      </c>
      <c r="I13" s="15" t="n">
        <f aca="false">calc!$Z$13</f>
        <v>0.108459902262384</v>
      </c>
      <c r="J13" s="78" t="n">
        <f aca="false">calc!$AN$13</f>
        <v>200.559684814176</v>
      </c>
      <c r="K13" s="10" t="n">
        <f aca="false">10*I13</f>
        <v>1.08459902262384</v>
      </c>
      <c r="L13" s="51" t="n">
        <f aca="false">'distance declin  RA'!$J$13</f>
        <v>388733.6378279</v>
      </c>
    </row>
    <row r="14" customFormat="false" ht="15" hidden="false" customHeight="false" outlineLevel="0" collapsed="false">
      <c r="D14" s="12" t="n">
        <f aca="false">'distance declin  RA'!$G$14</f>
        <v>13</v>
      </c>
      <c r="E14" s="17" t="n">
        <f aca="false">'distance declin  RA'!$H$14</f>
        <v>10</v>
      </c>
      <c r="F14" s="17" t="n">
        <f aca="false">'distance declin  RA'!$I$14</f>
        <v>13</v>
      </c>
      <c r="G14" s="15" t="n">
        <f aca="false">orbit!$H$14</f>
        <v>57.3151452053725</v>
      </c>
      <c r="H14" s="15" t="n">
        <f aca="false">calc!$AU$14</f>
        <v>12.6827223457582</v>
      </c>
      <c r="I14" s="15" t="n">
        <f aca="false">calc!$Z$14</f>
        <v>1.26054652737502</v>
      </c>
      <c r="J14" s="78" t="n">
        <f aca="false">calc!$AN$14</f>
        <v>201.545332178061</v>
      </c>
      <c r="K14" s="10" t="n">
        <f aca="false">10*I14</f>
        <v>12.6054652737502</v>
      </c>
      <c r="L14" s="51" t="n">
        <f aca="false">'distance declin  RA'!$J$14</f>
        <v>393194.332797055</v>
      </c>
    </row>
    <row r="15" customFormat="false" ht="15" hidden="false" customHeight="false" outlineLevel="0" collapsed="false">
      <c r="D15" s="12" t="n">
        <f aca="false">'distance declin  RA'!$G$15</f>
        <v>14</v>
      </c>
      <c r="E15" s="17" t="n">
        <f aca="false">'distance declin  RA'!$H$15</f>
        <v>10</v>
      </c>
      <c r="F15" s="17" t="n">
        <f aca="false">'distance declin  RA'!$I$15</f>
        <v>14</v>
      </c>
      <c r="G15" s="15" t="n">
        <f aca="false">orbit!$H$15</f>
        <v>69.705445719407</v>
      </c>
      <c r="H15" s="15" t="n">
        <f aca="false">calc!$AU$15</f>
        <v>12.3903005140345</v>
      </c>
      <c r="I15" s="15" t="n">
        <f aca="false">calc!$Z$15</f>
        <v>2.32754385636861</v>
      </c>
      <c r="J15" s="78" t="n">
        <f aca="false">calc!$AN$15</f>
        <v>202.530979541949</v>
      </c>
      <c r="K15" s="10" t="n">
        <f aca="false">10*I15</f>
        <v>23.2754385636861</v>
      </c>
      <c r="L15" s="51" t="n">
        <f aca="false">'distance declin  RA'!$J$15</f>
        <v>397265.214038636</v>
      </c>
    </row>
    <row r="16" customFormat="false" ht="15" hidden="false" customHeight="false" outlineLevel="0" collapsed="false">
      <c r="D16" s="12" t="n">
        <f aca="false">'distance declin  RA'!$G$16</f>
        <v>15</v>
      </c>
      <c r="E16" s="17" t="n">
        <f aca="false">'distance declin  RA'!$H$16</f>
        <v>10</v>
      </c>
      <c r="F16" s="17" t="n">
        <f aca="false">'distance declin  RA'!$I$16</f>
        <v>15</v>
      </c>
      <c r="G16" s="15" t="n">
        <f aca="false">orbit!$H$16</f>
        <v>81.8601784336473</v>
      </c>
      <c r="H16" s="15" t="n">
        <f aca="false">calc!$AU$16</f>
        <v>12.1547327142403</v>
      </c>
      <c r="I16" s="15" t="n">
        <f aca="false">calc!$Z$16</f>
        <v>3.26848842353458</v>
      </c>
      <c r="J16" s="78" t="n">
        <f aca="false">calc!$AN$16</f>
        <v>203.516626905834</v>
      </c>
      <c r="K16" s="10" t="n">
        <f aca="false">10*I16</f>
        <v>32.6848842353458</v>
      </c>
      <c r="L16" s="51" t="n">
        <f aca="false">'distance declin  RA'!$J$16</f>
        <v>400625.949580846</v>
      </c>
    </row>
    <row r="17" customFormat="false" ht="15" hidden="false" customHeight="false" outlineLevel="0" collapsed="false">
      <c r="D17" s="12" t="n">
        <f aca="false">'distance declin  RA'!$G$17</f>
        <v>16</v>
      </c>
      <c r="E17" s="17" t="n">
        <f aca="false">'distance declin  RA'!$H$17</f>
        <v>10</v>
      </c>
      <c r="F17" s="17" t="n">
        <f aca="false">'distance declin  RA'!$I$17</f>
        <v>16</v>
      </c>
      <c r="G17" s="15" t="n">
        <f aca="false">orbit!$H$17</f>
        <v>93.8493767731956</v>
      </c>
      <c r="H17" s="15" t="n">
        <f aca="false">calc!$AU$17</f>
        <v>11.9891983395483</v>
      </c>
      <c r="I17" s="15" t="n">
        <f aca="false">calc!$Z$17</f>
        <v>4.05219005303252</v>
      </c>
      <c r="J17" s="78" t="n">
        <f aca="false">calc!$AN$17</f>
        <v>204.50227426972</v>
      </c>
      <c r="K17" s="10" t="n">
        <f aca="false">10*I17</f>
        <v>40.5219005303252</v>
      </c>
      <c r="L17" s="51" t="n">
        <f aca="false">'distance declin  RA'!$J$17</f>
        <v>403005.458617671</v>
      </c>
    </row>
    <row r="18" customFormat="false" ht="15" hidden="false" customHeight="false" outlineLevel="0" collapsed="false">
      <c r="D18" s="12" t="n">
        <f aca="false">'distance declin  RA'!$G$18</f>
        <v>17</v>
      </c>
      <c r="E18" s="17" t="n">
        <f aca="false">'distance declin  RA'!$H$18</f>
        <v>10</v>
      </c>
      <c r="F18" s="17" t="n">
        <f aca="false">'distance declin  RA'!$I$18</f>
        <v>17</v>
      </c>
      <c r="G18" s="15" t="n">
        <f aca="false">orbit!$H$18</f>
        <v>105.748480137638</v>
      </c>
      <c r="H18" s="15" t="n">
        <f aca="false">calc!$AU$18</f>
        <v>11.899103364442</v>
      </c>
      <c r="I18" s="15" t="n">
        <f aca="false">calc!$Z$18</f>
        <v>4.65476392803579</v>
      </c>
      <c r="J18" s="78" t="n">
        <f aca="false">calc!$AN$18</f>
        <v>205.487921633607</v>
      </c>
      <c r="K18" s="10" t="n">
        <f aca="false">10*I18</f>
        <v>46.5476392803579</v>
      </c>
      <c r="L18" s="51" t="n">
        <f aca="false">'distance declin  RA'!$J$18</f>
        <v>404205.102359907</v>
      </c>
    </row>
    <row r="19" customFormat="false" ht="15" hidden="false" customHeight="false" outlineLevel="0" collapsed="false">
      <c r="D19" s="12" t="n">
        <f aca="false">'distance declin  RA'!$G$19</f>
        <v>18</v>
      </c>
      <c r="E19" s="17" t="n">
        <f aca="false">'distance declin  RA'!$H$19</f>
        <v>10</v>
      </c>
      <c r="F19" s="17" t="n">
        <f aca="false">'distance declin  RA'!$I$19</f>
        <v>18</v>
      </c>
      <c r="G19" s="15" t="n">
        <f aca="false">orbit!$H$19</f>
        <v>117.632975062265</v>
      </c>
      <c r="H19" s="15" t="n">
        <f aca="false">calc!$AU$19</f>
        <v>11.8844949246276</v>
      </c>
      <c r="I19" s="15" t="n">
        <f aca="false">calc!$Z$19</f>
        <v>5.05742708445702</v>
      </c>
      <c r="J19" s="78" t="n">
        <f aca="false">calc!$AN$19</f>
        <v>206.473568997493</v>
      </c>
      <c r="K19" s="10" t="n">
        <f aca="false">10*I19</f>
        <v>50.5742708445702</v>
      </c>
      <c r="L19" s="51" t="n">
        <f aca="false">'distance declin  RA'!$J$19</f>
        <v>404115.59750547</v>
      </c>
    </row>
    <row r="20" customFormat="false" ht="15" hidden="false" customHeight="false" outlineLevel="0" collapsed="false">
      <c r="D20" s="12" t="n">
        <f aca="false">'distance declin  RA'!$G$20</f>
        <v>19</v>
      </c>
      <c r="E20" s="17" t="n">
        <f aca="false">'distance declin  RA'!$H$20</f>
        <v>10</v>
      </c>
      <c r="F20" s="17" t="n">
        <f aca="false">'distance declin  RA'!$I$20</f>
        <v>19</v>
      </c>
      <c r="G20" s="15" t="n">
        <f aca="false">orbit!$H$20</f>
        <v>129.575763040524</v>
      </c>
      <c r="H20" s="15" t="n">
        <f aca="false">calc!$AU$20</f>
        <v>11.942787978259</v>
      </c>
      <c r="I20" s="15" t="n">
        <f aca="false">calc!$Z$20</f>
        <v>5.24506577133416</v>
      </c>
      <c r="J20" s="78" t="n">
        <f aca="false">calc!$AN$20</f>
        <v>207.459216361383</v>
      </c>
      <c r="K20" s="10" t="n">
        <f aca="false">10*I20</f>
        <v>52.4506577133416</v>
      </c>
      <c r="L20" s="51" t="n">
        <f aca="false">'distance declin  RA'!$J$20</f>
        <v>402727.438927862</v>
      </c>
    </row>
    <row r="21" customFormat="false" ht="15" hidden="false" customHeight="false" outlineLevel="0" collapsed="false">
      <c r="D21" s="12" t="n">
        <f aca="false">'distance declin  RA'!$G$21</f>
        <v>20</v>
      </c>
      <c r="E21" s="17" t="n">
        <f aca="false">'distance declin  RA'!$H$21</f>
        <v>10</v>
      </c>
      <c r="F21" s="17" t="n">
        <f aca="false">'distance declin  RA'!$I$21</f>
        <v>20</v>
      </c>
      <c r="G21" s="15" t="n">
        <f aca="false">orbit!$H$21</f>
        <v>141.646210018675</v>
      </c>
      <c r="H21" s="15" t="n">
        <f aca="false">calc!$AU$21</f>
        <v>12.0704469781503</v>
      </c>
      <c r="I21" s="15" t="n">
        <f aca="false">calc!$Z$21</f>
        <v>5.20576197949573</v>
      </c>
      <c r="J21" s="78" t="n">
        <f aca="false">calc!$AN$21</f>
        <v>208.444863725274</v>
      </c>
      <c r="K21" s="10" t="n">
        <f aca="false">10*I21</f>
        <v>52.0576197949573</v>
      </c>
      <c r="L21" s="51" t="n">
        <f aca="false">'distance declin  RA'!$J$21</f>
        <v>400133.913154532</v>
      </c>
    </row>
    <row r="22" customFormat="false" ht="15" hidden="false" customHeight="false" outlineLevel="0" collapsed="false">
      <c r="D22" s="12" t="n">
        <f aca="false">'distance declin  RA'!$G$22</f>
        <v>21</v>
      </c>
      <c r="E22" s="17" t="n">
        <f aca="false">'distance declin  RA'!$H$22</f>
        <v>10</v>
      </c>
      <c r="F22" s="17" t="n">
        <f aca="false">'distance declin  RA'!$I$22</f>
        <v>21</v>
      </c>
      <c r="G22" s="15" t="n">
        <f aca="false">orbit!$H$22</f>
        <v>153.909107844903</v>
      </c>
      <c r="H22" s="15" t="n">
        <f aca="false">calc!$AU$22</f>
        <v>12.2628978262282</v>
      </c>
      <c r="I22" s="15" t="n">
        <f aca="false">calc!$Z$22</f>
        <v>4.93141294976467</v>
      </c>
      <c r="J22" s="78" t="n">
        <f aca="false">calc!$AN$22</f>
        <v>209.430511089164</v>
      </c>
      <c r="K22" s="10" t="n">
        <f aca="false">10*I22</f>
        <v>49.3141294976467</v>
      </c>
      <c r="L22" s="51" t="n">
        <f aca="false">'distance declin  RA'!$J$22</f>
        <v>396525.927066574</v>
      </c>
    </row>
    <row r="23" customFormat="false" ht="15" hidden="false" customHeight="false" outlineLevel="0" collapsed="false">
      <c r="D23" s="12" t="n">
        <f aca="false">'distance declin  RA'!$G$23</f>
        <v>22</v>
      </c>
      <c r="E23" s="17" t="n">
        <f aca="false">'distance declin  RA'!$H$23</f>
        <v>10</v>
      </c>
      <c r="F23" s="17" t="n">
        <f aca="false">'distance declin  RA'!$I$23</f>
        <v>22</v>
      </c>
      <c r="G23" s="15" t="n">
        <f aca="false">orbit!$H$23</f>
        <v>166.421980366643</v>
      </c>
      <c r="H23" s="15" t="n">
        <f aca="false">calc!$AU$23</f>
        <v>12.5128725217398</v>
      </c>
      <c r="I23" s="15" t="n">
        <f aca="false">calc!$Z$23</f>
        <v>4.41963138857495</v>
      </c>
      <c r="J23" s="78" t="n">
        <f aca="false">calc!$AN$23</f>
        <v>210.416158453054</v>
      </c>
      <c r="K23" s="10" t="n">
        <f aca="false">10*I23</f>
        <v>44.1963138857495</v>
      </c>
      <c r="L23" s="51" t="n">
        <f aca="false">'distance declin  RA'!$J$23</f>
        <v>392178.44519009</v>
      </c>
    </row>
    <row r="24" customFormat="false" ht="15" hidden="false" customHeight="false" outlineLevel="0" collapsed="false">
      <c r="D24" s="12" t="n">
        <f aca="false">'distance declin  RA'!$G$24</f>
        <v>23</v>
      </c>
      <c r="E24" s="17" t="n">
        <f aca="false">'distance declin  RA'!$H$24</f>
        <v>10</v>
      </c>
      <c r="F24" s="17" t="n">
        <f aca="false">'distance declin  RA'!$I$24</f>
        <v>23</v>
      </c>
      <c r="G24" s="15" t="n">
        <f aca="false">orbit!$H$24</f>
        <v>179.230188828809</v>
      </c>
      <c r="H24" s="15" t="n">
        <f aca="false">calc!$AU$24</f>
        <v>12.8082084621669</v>
      </c>
      <c r="I24" s="15" t="n">
        <f aca="false">calc!$Z$24</f>
        <v>3.67700282776604</v>
      </c>
      <c r="J24" s="78" t="n">
        <f aca="false">calc!$AN$24</f>
        <v>211.401805816944</v>
      </c>
      <c r="K24" s="10" t="n">
        <f aca="false">10*I24</f>
        <v>36.7700282776604</v>
      </c>
      <c r="L24" s="51" t="n">
        <f aca="false">'distance declin  RA'!$J$24</f>
        <v>387428.461622192</v>
      </c>
    </row>
    <row r="25" customFormat="false" ht="15" hidden="false" customHeight="false" outlineLevel="0" collapsed="false">
      <c r="D25" s="12" t="n">
        <f aca="false">'distance declin  RA'!$G$25</f>
        <v>24</v>
      </c>
      <c r="E25" s="17" t="n">
        <f aca="false">'distance declin  RA'!$H$25</f>
        <v>10</v>
      </c>
      <c r="F25" s="17" t="n">
        <f aca="false">'distance declin  RA'!$I$25</f>
        <v>24</v>
      </c>
      <c r="G25" s="15" t="n">
        <f aca="false">orbit!$H$25</f>
        <v>192.36067118198</v>
      </c>
      <c r="H25" s="15" t="n">
        <f aca="false">calc!$AU$25</f>
        <v>13.1304823531704</v>
      </c>
      <c r="I25" s="15" t="n">
        <f aca="false">calc!$Z$25</f>
        <v>2.72330466048128</v>
      </c>
      <c r="J25" s="78" t="n">
        <f aca="false">calc!$AN$25</f>
        <v>212.387453180836</v>
      </c>
      <c r="K25" s="10" t="n">
        <f aca="false">10*I25</f>
        <v>27.2330466048128</v>
      </c>
      <c r="L25" s="51" t="n">
        <f aca="false">'distance declin  RA'!$J$25</f>
        <v>382644.337384136</v>
      </c>
    </row>
    <row r="26" customFormat="false" ht="15" hidden="false" customHeight="false" outlineLevel="0" collapsed="false">
      <c r="D26" s="12" t="n">
        <f aca="false">'distance declin  RA'!$G$26</f>
        <v>25</v>
      </c>
      <c r="E26" s="17" t="n">
        <f aca="false">'distance declin  RA'!$H$26</f>
        <v>10</v>
      </c>
      <c r="F26" s="17" t="n">
        <f aca="false">'distance declin  RA'!$I$26</f>
        <v>25</v>
      </c>
      <c r="G26" s="15" t="n">
        <f aca="false">orbit!$H$26</f>
        <v>205.816267759778</v>
      </c>
      <c r="H26" s="15" t="n">
        <f aca="false">calc!$AU$26</f>
        <v>13.4555965777981</v>
      </c>
      <c r="I26" s="15" t="n">
        <f aca="false">calc!$Z$26</f>
        <v>1.59552762392545</v>
      </c>
      <c r="J26" s="78" t="n">
        <f aca="false">calc!$AN$26</f>
        <v>213.373100544726</v>
      </c>
      <c r="K26" s="10" t="n">
        <f aca="false">10*I26</f>
        <v>15.9552762392545</v>
      </c>
      <c r="L26" s="51" t="n">
        <f aca="false">'distance declin  RA'!$J$26</f>
        <v>378187.391599323</v>
      </c>
    </row>
    <row r="27" customFormat="false" ht="15" hidden="false" customHeight="false" outlineLevel="0" collapsed="false">
      <c r="D27" s="12" t="n">
        <f aca="false">'distance declin  RA'!$G$27</f>
        <v>26</v>
      </c>
      <c r="E27" s="17" t="n">
        <f aca="false">'distance declin  RA'!$H$27</f>
        <v>10</v>
      </c>
      <c r="F27" s="17" t="n">
        <f aca="false">'distance declin  RA'!$I$27</f>
        <v>26</v>
      </c>
      <c r="G27" s="15" t="n">
        <f aca="false">orbit!$H$27</f>
        <v>219.572924035865</v>
      </c>
      <c r="H27" s="15" t="n">
        <f aca="false">calc!$AU$27</f>
        <v>13.7566562760867</v>
      </c>
      <c r="I27" s="15" t="n">
        <f aca="false">calc!$Z$27</f>
        <v>0.349888750256671</v>
      </c>
      <c r="J27" s="78" t="n">
        <f aca="false">calc!$AN$27</f>
        <v>214.358747908616</v>
      </c>
      <c r="K27" s="10" t="n">
        <f aca="false">10*I27</f>
        <v>3.49888750256671</v>
      </c>
      <c r="L27" s="51" t="n">
        <f aca="false">'distance declin  RA'!$J$27</f>
        <v>374369.771007691</v>
      </c>
    </row>
    <row r="28" customFormat="false" ht="15" hidden="false" customHeight="false" outlineLevel="0" collapsed="false">
      <c r="D28" s="12" t="n">
        <f aca="false">'distance declin  RA'!$G$28</f>
        <v>27</v>
      </c>
      <c r="E28" s="17" t="n">
        <f aca="false">'distance declin  RA'!$H$28</f>
        <v>10</v>
      </c>
      <c r="F28" s="17" t="n">
        <f aca="false">'distance declin  RA'!$I$28</f>
        <v>27</v>
      </c>
      <c r="G28" s="15" t="n">
        <f aca="false">orbit!$H$28</f>
        <v>233.581423834797</v>
      </c>
      <c r="H28" s="15" t="n">
        <f aca="false">calc!$AU$28</f>
        <v>14.0084997989329</v>
      </c>
      <c r="I28" s="15" t="n">
        <f aca="false">calc!$Z$28</f>
        <v>-0.939936300098635</v>
      </c>
      <c r="J28" s="78" t="n">
        <f aca="false">calc!$AN$28</f>
        <v>215.344395272508</v>
      </c>
      <c r="K28" s="10" t="n">
        <f aca="false">10*I28</f>
        <v>-9.39936300098635</v>
      </c>
      <c r="L28" s="51" t="n">
        <f aca="false">'distance declin  RA'!$J$28</f>
        <v>371416.660252167</v>
      </c>
    </row>
    <row r="29" customFormat="false" ht="15" hidden="false" customHeight="false" outlineLevel="0" collapsed="false">
      <c r="D29" s="12" t="n">
        <f aca="false">'distance declin  RA'!$G$29</f>
        <v>28</v>
      </c>
      <c r="E29" s="17" t="n">
        <f aca="false">'distance declin  RA'!$H$29</f>
        <v>10</v>
      </c>
      <c r="F29" s="82" t="n">
        <f aca="false">'distance declin  RA'!$I$29</f>
        <v>28</v>
      </c>
      <c r="G29" s="83" t="n">
        <f aca="false">orbit!$H$29</f>
        <v>247.773905032934</v>
      </c>
      <c r="H29" s="83" t="n">
        <f aca="false">calc!$AU$29</f>
        <v>14.1924811981368</v>
      </c>
      <c r="I29" s="83" t="n">
        <f aca="false">calc!$Z$29</f>
        <v>-2.18906381211348</v>
      </c>
      <c r="J29" s="78" t="n">
        <f aca="false">calc!$AN$29</f>
        <v>216.330042636402</v>
      </c>
      <c r="K29" s="10" t="n">
        <f aca="false">10*I29</f>
        <v>-21.8906381211348</v>
      </c>
      <c r="L29" s="51" t="n">
        <f aca="false">'distance declin  RA'!$J$29</f>
        <v>369442.856973468</v>
      </c>
    </row>
    <row r="30" customFormat="false" ht="15" hidden="false" customHeight="false" outlineLevel="0" collapsed="false">
      <c r="D30" s="12" t="n">
        <f aca="false">'distance declin  RA'!$G$30</f>
        <v>29</v>
      </c>
      <c r="E30" s="12" t="n">
        <f aca="false">'distance declin  RA'!$H$30</f>
        <v>10</v>
      </c>
      <c r="F30" s="17" t="n">
        <f aca="false">'distance declin  RA'!$I$30</f>
        <v>29</v>
      </c>
      <c r="G30" s="15" t="n">
        <f aca="false">orbit!$H$30</f>
        <v>262.073781214146</v>
      </c>
      <c r="H30" s="15" t="n">
        <f aca="false">calc!$AU$30</f>
        <v>14.2998761812113</v>
      </c>
      <c r="I30" s="15" t="n">
        <f aca="false">calc!$Z$30</f>
        <v>-3.31106006015076</v>
      </c>
      <c r="J30" s="78" t="n">
        <f aca="false">calc!$AN$30</f>
        <v>217.315690000296</v>
      </c>
      <c r="K30" s="10" t="n">
        <f aca="false">10*I30</f>
        <v>-33.1106006015076</v>
      </c>
      <c r="L30" s="51" t="n">
        <f aca="false">'distance declin  RA'!$J$30</f>
        <v>368451.171696808</v>
      </c>
    </row>
    <row r="31" customFormat="false" ht="15" hidden="false" customHeight="false" outlineLevel="0" collapsed="false">
      <c r="D31" s="12" t="n">
        <f aca="false">'distance declin  RA'!$G$31</f>
        <v>30</v>
      </c>
      <c r="E31" s="12" t="n">
        <f aca="false">'distance declin  RA'!$H$31</f>
        <v>10</v>
      </c>
      <c r="F31" s="17" t="n">
        <f aca="false">'distance declin  RA'!$I$31</f>
        <v>30</v>
      </c>
      <c r="G31" s="15" t="n">
        <f aca="false">orbit!$H$31</f>
        <v>276.406481697268</v>
      </c>
      <c r="H31" s="15" t="n">
        <f aca="false">calc!$AU$31</f>
        <v>14.3327004831226</v>
      </c>
      <c r="I31" s="15" t="n">
        <f aca="false">calc!$Z$31</f>
        <v>-4.22841863332811</v>
      </c>
      <c r="J31" s="78" t="n">
        <f aca="false">calc!$AN$31</f>
        <v>218.301337364186</v>
      </c>
      <c r="K31" s="10" t="n">
        <f aca="false">10*I31</f>
        <v>-42.2841863332811</v>
      </c>
      <c r="L31" s="51" t="n">
        <f aca="false">'distance declin  RA'!$J$31</f>
        <v>368353.409166924</v>
      </c>
    </row>
    <row r="32" customFormat="false" ht="15" hidden="false" customHeight="false" outlineLevel="0" collapsed="false">
      <c r="D32" s="12" t="n">
        <f aca="false">'distance declin  RA'!$G$32</f>
        <v>31</v>
      </c>
      <c r="E32" s="12" t="n">
        <f aca="false">'distance declin  RA'!$H$32</f>
        <v>10</v>
      </c>
      <c r="F32" s="17" t="n">
        <f aca="false">'distance declin  RA'!$I$32</f>
        <v>31</v>
      </c>
      <c r="G32" s="15" t="n">
        <f aca="false">orbit!$H$32</f>
        <v>290.708118788149</v>
      </c>
      <c r="H32" s="15" t="n">
        <f aca="false">calc!$AU$32</f>
        <v>14.3016370908807</v>
      </c>
      <c r="I32" s="15" t="n">
        <f aca="false">calc!$Z$32</f>
        <v>-4.88099771490685</v>
      </c>
      <c r="J32" s="78" t="n">
        <f aca="false">calc!$AN$32</f>
        <v>219.286984728082</v>
      </c>
      <c r="K32" s="10" t="n">
        <f aca="false">10*I32</f>
        <v>-48.8099771490684</v>
      </c>
      <c r="L32" s="51" t="n">
        <f aca="false">'distance declin  RA'!$J$32</f>
        <v>369007.135516517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I10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1" activeCellId="0" sqref="B31"/>
    </sheetView>
  </sheetViews>
  <sheetFormatPr defaultColWidth="9.625" defaultRowHeight="15" zeroHeight="false" outlineLevelRow="0" outlineLevelCol="0"/>
  <cols>
    <col collapsed="false" customWidth="true" hidden="false" outlineLevel="0" max="1" min="1" style="0" width="9.02"/>
    <col collapsed="false" customWidth="true" hidden="false" outlineLevel="0" max="2" min="2" style="0" width="8.77"/>
    <col collapsed="false" customWidth="true" hidden="false" outlineLevel="0" max="3" min="3" style="0" width="11.08"/>
    <col collapsed="false" customWidth="true" hidden="false" outlineLevel="0" max="4" min="4" style="12" width="5.72"/>
    <col collapsed="false" customWidth="true" hidden="false" outlineLevel="0" max="5" min="5" style="12" width="7.07"/>
    <col collapsed="false" customWidth="true" hidden="false" outlineLevel="0" max="6" min="6" style="0" width="5.23"/>
    <col collapsed="false" customWidth="true" hidden="false" outlineLevel="0" max="7" min="7" style="59" width="7.19"/>
    <col collapsed="false" customWidth="true" hidden="false" outlineLevel="0" max="8" min="8" style="58" width="7.92"/>
    <col collapsed="false" customWidth="true" hidden="false" outlineLevel="0" max="9" min="9" style="10" width="7.43"/>
    <col collapsed="false" customWidth="true" hidden="false" outlineLevel="0" max="10" min="10" style="10" width="12.67"/>
    <col collapsed="false" customWidth="true" hidden="false" outlineLevel="0" max="11" min="11" style="84" width="7.43"/>
    <col collapsed="false" customWidth="true" hidden="false" outlineLevel="0" max="12" min="12" style="10" width="12.18"/>
    <col collapsed="false" customWidth="true" hidden="false" outlineLevel="0" max="13" min="13" style="85" width="10.23"/>
    <col collapsed="false" customWidth="true" hidden="false" outlineLevel="0" max="14" min="14" style="0" width="9.51"/>
    <col collapsed="false" customWidth="true" hidden="false" outlineLevel="0" max="15" min="15" style="0" width="7.8"/>
    <col collapsed="false" customWidth="true" hidden="false" outlineLevel="0" max="16" min="16" style="0" width="12.18"/>
  </cols>
  <sheetData>
    <row r="1" customFormat="false" ht="15" hidden="false" customHeight="false" outlineLevel="0" collapsed="false">
      <c r="A1" s="60" t="str">
        <f aca="false">calc!$C$1</f>
        <v>UT</v>
      </c>
      <c r="B1" s="60" t="str">
        <f aca="false">input!$C$1</f>
        <v>Month</v>
      </c>
      <c r="C1" s="60" t="str">
        <f aca="false">input!$D$1</f>
        <v>Year</v>
      </c>
      <c r="D1" s="55" t="str">
        <f aca="false">calc!$D$1</f>
        <v>Date</v>
      </c>
      <c r="E1" s="55" t="str">
        <f aca="false">calc!$E$1</f>
        <v>Month</v>
      </c>
      <c r="F1" s="55" t="s">
        <v>79</v>
      </c>
      <c r="G1" s="61" t="str">
        <f aca="false">'L  B'!$G$1</f>
        <v>Lm</v>
      </c>
      <c r="H1" s="60" t="str">
        <f aca="false">calc!$AN$1</f>
        <v>Lsun</v>
      </c>
      <c r="I1" s="40" t="str">
        <f aca="false">calc!$Z$1</f>
        <v>Bm</v>
      </c>
      <c r="J1" s="86" t="s">
        <v>85</v>
      </c>
      <c r="K1" s="87" t="s">
        <v>86</v>
      </c>
      <c r="L1" s="40" t="s">
        <v>87</v>
      </c>
      <c r="M1" s="85" t="s">
        <v>88</v>
      </c>
      <c r="N1" s="55" t="s">
        <v>84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</row>
    <row r="2" customFormat="false" ht="15" hidden="false" customHeight="false" outlineLevel="0" collapsed="false">
      <c r="A2" s="81" t="n">
        <f aca="false">calc!$C$2</f>
        <v>0</v>
      </c>
      <c r="B2" s="58" t="n">
        <f aca="false">input!$C$2</f>
        <v>10</v>
      </c>
      <c r="C2" s="58" t="n">
        <f aca="false">input!$D$2</f>
        <v>2022</v>
      </c>
      <c r="D2" s="12" t="n">
        <f aca="false">calc!$D$2</f>
        <v>1</v>
      </c>
      <c r="E2" s="17" t="n">
        <f aca="false">calc!$E$2</f>
        <v>10</v>
      </c>
      <c r="F2" s="12" t="n">
        <v>1</v>
      </c>
      <c r="G2" s="71" t="n">
        <f aca="false">'L  B'!$G$2</f>
        <v>251.57947639492</v>
      </c>
      <c r="H2" s="72" t="n">
        <f aca="false">calc!$AN$2</f>
        <v>189.717563811462</v>
      </c>
      <c r="I2" s="10" t="n">
        <f aca="false">calc!$Z$2</f>
        <v>-2.4308103329961</v>
      </c>
      <c r="J2" s="10" t="str">
        <f aca="false">IF(ABS(I2)/$C$17&lt;1,I2/$C$17,"")</f>
        <v/>
      </c>
      <c r="K2" s="15" t="n">
        <f aca="false">H2-G2</f>
        <v>-61.8619125834579</v>
      </c>
      <c r="L2" s="10" t="str">
        <f aca="false">IF(ABS(K2/$C$18)&lt;1,K2/$C$18,"")</f>
        <v/>
      </c>
      <c r="M2" s="85" t="str">
        <f aca="false">IF(OR(J2="",L2=""),"",ABS(J2)+ABS(L2))</f>
        <v/>
      </c>
      <c r="N2" s="10" t="n">
        <f aca="false">10*I2</f>
        <v>-24.308103329961</v>
      </c>
    </row>
    <row r="3" customFormat="false" ht="15" hidden="false" customHeight="false" outlineLevel="0" collapsed="false">
      <c r="A3" s="12"/>
      <c r="B3" s="12"/>
      <c r="C3" s="8" t="str">
        <f aca="false">'elev az illum'!$E$3</f>
        <v>common year</v>
      </c>
      <c r="D3" s="12" t="n">
        <f aca="false">calc!$D$3</f>
        <v>2</v>
      </c>
      <c r="E3" s="17" t="n">
        <f aca="false">calc!$E$3</f>
        <v>10</v>
      </c>
      <c r="F3" s="12" t="n">
        <v>2</v>
      </c>
      <c r="G3" s="71" t="n">
        <f aca="false">'L  B'!$G$3</f>
        <v>265.573057657448</v>
      </c>
      <c r="H3" s="72" t="n">
        <f aca="false">calc!$AN$3</f>
        <v>190.703211175343</v>
      </c>
      <c r="I3" s="10" t="n">
        <f aca="false">calc!$Z$3</f>
        <v>-3.47241943770793</v>
      </c>
      <c r="J3" s="10" t="str">
        <f aca="false">IF(ABS(I3)/$C$17&lt;1,I3/$C$17,"")</f>
        <v/>
      </c>
      <c r="K3" s="15" t="n">
        <f aca="false">H3-G3</f>
        <v>-74.8698464821047</v>
      </c>
      <c r="L3" s="10" t="str">
        <f aca="false">IF(ABS(K3/$C$18)&lt;1,K3/$C$18,"")</f>
        <v/>
      </c>
      <c r="M3" s="85" t="str">
        <f aca="false">IF(OR(J3="",L3=""),"",ABS(J3)+ABS(L3))</f>
        <v/>
      </c>
      <c r="N3" s="10" t="n">
        <f aca="false">10*I3</f>
        <v>-34.7241943770793</v>
      </c>
    </row>
    <row r="4" customFormat="false" ht="15" hidden="false" customHeight="false" outlineLevel="0" collapsed="false">
      <c r="A4" s="88"/>
      <c r="B4" s="12"/>
      <c r="C4" s="89"/>
      <c r="D4" s="12" t="n">
        <f aca="false">calc!$D$4</f>
        <v>3</v>
      </c>
      <c r="E4" s="17" t="n">
        <f aca="false">calc!$E$4</f>
        <v>10</v>
      </c>
      <c r="F4" s="12" t="n">
        <v>3</v>
      </c>
      <c r="G4" s="71" t="n">
        <f aca="false">'L  B'!$G$4</f>
        <v>279.674030475907</v>
      </c>
      <c r="H4" s="72" t="n">
        <f aca="false">calc!$AN$4</f>
        <v>191.688858539224</v>
      </c>
      <c r="I4" s="10" t="n">
        <f aca="false">calc!$Z$4</f>
        <v>-4.31189163161484</v>
      </c>
      <c r="J4" s="10" t="str">
        <f aca="false">IF(ABS(I4)/$C$17&lt;1,I4/$C$17,"")</f>
        <v/>
      </c>
      <c r="K4" s="15" t="n">
        <f aca="false">H4-G4</f>
        <v>-87.9851719366823</v>
      </c>
      <c r="L4" s="10" t="str">
        <f aca="false">IF(ABS(K4/$C$18)&lt;1,K4/$C$18,"")</f>
        <v/>
      </c>
      <c r="M4" s="85" t="str">
        <f aca="false">IF(OR(J4="",L4=""),"",ABS(J4)+ABS(L4))</f>
        <v/>
      </c>
      <c r="N4" s="10" t="n">
        <f aca="false">10*I4</f>
        <v>-43.1189163161484</v>
      </c>
    </row>
    <row r="5" customFormat="false" ht="15" hidden="false" customHeight="false" outlineLevel="0" collapsed="false">
      <c r="A5" s="12" t="s">
        <v>89</v>
      </c>
      <c r="B5" s="12" t="s">
        <v>90</v>
      </c>
      <c r="C5" s="90" t="n">
        <v>1.58</v>
      </c>
      <c r="D5" s="12" t="n">
        <f aca="false">calc!$D$5</f>
        <v>4</v>
      </c>
      <c r="E5" s="17" t="n">
        <f aca="false">calc!$E$5</f>
        <v>10</v>
      </c>
      <c r="F5" s="12" t="n">
        <v>4</v>
      </c>
      <c r="G5" s="71" t="n">
        <f aca="false">'L  B'!$G$5</f>
        <v>293.862769751099</v>
      </c>
      <c r="H5" s="72" t="n">
        <f aca="false">calc!$AN$5</f>
        <v>192.674505903105</v>
      </c>
      <c r="I5" s="10" t="n">
        <f aca="false">calc!$Z$5</f>
        <v>-4.89345979091708</v>
      </c>
      <c r="J5" s="10" t="str">
        <f aca="false">IF(ABS(I5)/$C$17&lt;1,I5/$C$17,"")</f>
        <v/>
      </c>
      <c r="K5" s="15" t="n">
        <f aca="false">H5-G5</f>
        <v>-101.188263847994</v>
      </c>
      <c r="L5" s="10" t="str">
        <f aca="false">IF(ABS(K5/$C$18)&lt;1,K5/$C$18,"")</f>
        <v/>
      </c>
      <c r="M5" s="85" t="str">
        <f aca="false">IF(OR(J5="",L5=""),"",ABS(J5)+ABS(L5))</f>
        <v/>
      </c>
      <c r="N5" s="10" t="n">
        <f aca="false">10*I5</f>
        <v>-48.9345979091708</v>
      </c>
    </row>
    <row r="6" customFormat="false" ht="15" hidden="false" customHeight="false" outlineLevel="0" collapsed="false">
      <c r="A6" s="12" t="s">
        <v>91</v>
      </c>
      <c r="B6" s="12" t="s">
        <v>92</v>
      </c>
      <c r="C6" s="90" t="n">
        <f aca="false">17+24/60</f>
        <v>17.4</v>
      </c>
      <c r="D6" s="12" t="n">
        <f aca="false">calc!$D$6</f>
        <v>5</v>
      </c>
      <c r="E6" s="17" t="n">
        <f aca="false">calc!$E$6</f>
        <v>10</v>
      </c>
      <c r="F6" s="12" t="n">
        <v>5</v>
      </c>
      <c r="G6" s="71" t="n">
        <f aca="false">'L  B'!$G$6</f>
        <v>308.110821229503</v>
      </c>
      <c r="H6" s="72" t="n">
        <f aca="false">calc!$AN$6</f>
        <v>193.660153266988</v>
      </c>
      <c r="I6" s="10" t="n">
        <f aca="false">calc!$Z$6</f>
        <v>-5.17731046224389</v>
      </c>
      <c r="J6" s="10" t="str">
        <f aca="false">IF(ABS(I6)/$C$17&lt;1,I6/$C$17,"")</f>
        <v/>
      </c>
      <c r="K6" s="15" t="n">
        <f aca="false">H6-G6</f>
        <v>-114.450667962515</v>
      </c>
      <c r="L6" s="10" t="str">
        <f aca="false">IF(ABS(K6/$C$18)&lt;1,K6/$C$18,"")</f>
        <v/>
      </c>
      <c r="M6" s="85" t="str">
        <f aca="false">IF(OR(J6="",L6=""),"",ABS(J6)+ABS(L6))</f>
        <v/>
      </c>
      <c r="N6" s="10" t="n">
        <f aca="false">10*I6</f>
        <v>-51.7731046224389</v>
      </c>
    </row>
    <row r="7" customFormat="false" ht="15" hidden="false" customHeight="false" outlineLevel="0" collapsed="false">
      <c r="D7" s="12" t="n">
        <f aca="false">calc!$D$7</f>
        <v>6</v>
      </c>
      <c r="E7" s="17" t="n">
        <f aca="false">calc!$E$7</f>
        <v>10</v>
      </c>
      <c r="F7" s="12" t="n">
        <v>6</v>
      </c>
      <c r="G7" s="71" t="n">
        <f aca="false">'L  B'!$G$7</f>
        <v>322.375354520684</v>
      </c>
      <c r="H7" s="72" t="n">
        <f aca="false">calc!$AN$7</f>
        <v>194.645800630871</v>
      </c>
      <c r="I7" s="10" t="n">
        <f aca="false">calc!$Z$7</f>
        <v>-5.14340962238135</v>
      </c>
      <c r="J7" s="10" t="str">
        <f aca="false">IF(ABS(I7)/$C$17&lt;1,I7/$C$17,"")</f>
        <v/>
      </c>
      <c r="K7" s="15" t="n">
        <f aca="false">H7-G7</f>
        <v>-127.729553889813</v>
      </c>
      <c r="L7" s="10" t="str">
        <f aca="false">IF(ABS(K7/$C$18)&lt;1,K7/$C$18,"")</f>
        <v/>
      </c>
      <c r="M7" s="85" t="str">
        <f aca="false">IF(OR(J7="",L7=""),"",ABS(J7)+ABS(L7))</f>
        <v/>
      </c>
      <c r="N7" s="10" t="n">
        <f aca="false">10*I7</f>
        <v>-51.4340962238135</v>
      </c>
    </row>
    <row r="8" customFormat="false" ht="15" hidden="false" customHeight="false" outlineLevel="0" collapsed="false">
      <c r="A8" s="11"/>
      <c r="B8" s="91"/>
      <c r="C8" s="91"/>
      <c r="D8" s="12" t="n">
        <f aca="false">calc!$D$8</f>
        <v>7</v>
      </c>
      <c r="E8" s="17" t="n">
        <f aca="false">calc!$E$8</f>
        <v>10</v>
      </c>
      <c r="F8" s="12" t="n">
        <v>7</v>
      </c>
      <c r="G8" s="71" t="n">
        <f aca="false">'L  B'!$G$8</f>
        <v>336.597293033886</v>
      </c>
      <c r="H8" s="72" t="n">
        <f aca="false">calc!$AN$8</f>
        <v>195.631447994752</v>
      </c>
      <c r="I8" s="10" t="n">
        <f aca="false">calc!$Z$8</f>
        <v>-4.79457675224573</v>
      </c>
      <c r="J8" s="10" t="str">
        <f aca="false">IF(ABS(I8)/$C$17&lt;1,I8/$C$17,"")</f>
        <v/>
      </c>
      <c r="K8" s="15" t="n">
        <f aca="false">H8-G8</f>
        <v>-140.965845039134</v>
      </c>
      <c r="L8" s="10" t="str">
        <f aca="false">IF(ABS(K8/$C$18)&lt;1,K8/$C$18,"")</f>
        <v/>
      </c>
      <c r="M8" s="85" t="str">
        <f aca="false">IF(OR(J8="",L8=""),"",ABS(J8)+ABS(L8))</f>
        <v/>
      </c>
      <c r="N8" s="10" t="n">
        <f aca="false">10*I8</f>
        <v>-47.9457675224573</v>
      </c>
    </row>
    <row r="9" customFormat="false" ht="15" hidden="false" customHeight="false" outlineLevel="0" collapsed="false">
      <c r="A9" s="12" t="s">
        <v>89</v>
      </c>
      <c r="B9" s="12" t="s">
        <v>93</v>
      </c>
      <c r="C9" s="90" t="n">
        <f aca="false">1+25/60</f>
        <v>1.41666666666667</v>
      </c>
      <c r="D9" s="12" t="n">
        <f aca="false">calc!$D$9</f>
        <v>8</v>
      </c>
      <c r="E9" s="17" t="n">
        <f aca="false">calc!$E$9</f>
        <v>10</v>
      </c>
      <c r="F9" s="12" t="n">
        <v>8</v>
      </c>
      <c r="G9" s="71" t="n">
        <f aca="false">'L  B'!$G$9</f>
        <v>350.704675265324</v>
      </c>
      <c r="H9" s="72" t="n">
        <f aca="false">calc!$AN$9</f>
        <v>196.617095358637</v>
      </c>
      <c r="I9" s="10" t="n">
        <f aca="false">calc!$Z$9</f>
        <v>-4.15761074534745</v>
      </c>
      <c r="J9" s="10" t="str">
        <f aca="false">IF(ABS(I9)/$C$17&lt;1,I9/$C$17,"")</f>
        <v/>
      </c>
      <c r="K9" s="15" t="n">
        <f aca="false">H9-G9</f>
        <v>-154.087579906687</v>
      </c>
      <c r="L9" s="10" t="str">
        <f aca="false">IF(ABS(K9/$C$18)&lt;1,K9/$C$18,"")</f>
        <v/>
      </c>
      <c r="M9" s="85" t="str">
        <f aca="false">IF(OR(J9="",L9=""),"",ABS(J9)+ABS(L9))</f>
        <v/>
      </c>
      <c r="N9" s="10" t="n">
        <f aca="false">10*I9</f>
        <v>-41.5761074534745</v>
      </c>
    </row>
    <row r="10" customFormat="false" ht="15" hidden="false" customHeight="false" outlineLevel="0" collapsed="false">
      <c r="A10" s="12" t="s">
        <v>91</v>
      </c>
      <c r="B10" s="12" t="s">
        <v>94</v>
      </c>
      <c r="C10" s="90" t="n">
        <f aca="false">15+27/60</f>
        <v>15.45</v>
      </c>
      <c r="D10" s="12" t="n">
        <f aca="false">calc!$D$10</f>
        <v>9</v>
      </c>
      <c r="E10" s="17" t="n">
        <f aca="false">calc!$E$10</f>
        <v>10</v>
      </c>
      <c r="F10" s="12" t="n">
        <v>9</v>
      </c>
      <c r="G10" s="71" t="n">
        <f aca="false">'L  B'!$G$10</f>
        <v>4.62106919314135</v>
      </c>
      <c r="H10" s="72" t="n">
        <f aca="false">calc!$AN$10</f>
        <v>197.60274272252</v>
      </c>
      <c r="I10" s="10" t="n">
        <f aca="false">calc!$Z$10</f>
        <v>-3.2811565888454</v>
      </c>
      <c r="J10" s="10" t="str">
        <f aca="false">IF(ABS(I10)/$C$17&lt;1,I10/$C$17,"")</f>
        <v/>
      </c>
      <c r="K10" s="15" t="n">
        <f aca="false">H10-G10</f>
        <v>192.981673529379</v>
      </c>
      <c r="L10" s="10" t="str">
        <f aca="false">IF(ABS(K10/$C$18)&lt;1,K10/$C$18,"")</f>
        <v/>
      </c>
      <c r="M10" s="85" t="str">
        <f aca="false">IF(OR(J10="",L10=""),"",ABS(J10)+ABS(L10))</f>
        <v/>
      </c>
      <c r="N10" s="10" t="n">
        <f aca="false">10*I10</f>
        <v>-32.811565888454</v>
      </c>
    </row>
    <row r="11" customFormat="false" ht="15" hidden="false" customHeight="false" outlineLevel="0" collapsed="false">
      <c r="D11" s="12" t="n">
        <f aca="false">calc!$D$11</f>
        <v>10</v>
      </c>
      <c r="E11" s="17" t="n">
        <f aca="false">calc!$E$11</f>
        <v>10</v>
      </c>
      <c r="F11" s="12" t="n">
        <v>10</v>
      </c>
      <c r="G11" s="71" t="n">
        <f aca="false">'L  B'!$G$11</f>
        <v>18.277105227762</v>
      </c>
      <c r="H11" s="72" t="n">
        <f aca="false">calc!$AN$11</f>
        <v>198.588390086406</v>
      </c>
      <c r="I11" s="10" t="n">
        <f aca="false">calc!$Z$11</f>
        <v>-2.22990818457164</v>
      </c>
      <c r="J11" s="10" t="str">
        <f aca="false">IF(ABS(I11)/$C$17&lt;1,I11/$C$17,"")</f>
        <v/>
      </c>
      <c r="K11" s="15" t="n">
        <f aca="false">H11-G11</f>
        <v>180.311284858644</v>
      </c>
      <c r="L11" s="10" t="str">
        <f aca="false">IF(ABS(K11/$C$18)&lt;1,K11/$C$18,"")</f>
        <v/>
      </c>
      <c r="M11" s="85" t="str">
        <f aca="false">IF(OR(J11="",L11=""),"",ABS(J11)+ABS(L11))</f>
        <v/>
      </c>
      <c r="N11" s="10" t="n">
        <f aca="false">10*I11</f>
        <v>-22.2990818457164</v>
      </c>
    </row>
    <row r="12" customFormat="false" ht="15" hidden="false" customHeight="false" outlineLevel="0" collapsed="false">
      <c r="D12" s="12" t="n">
        <f aca="false">calc!$D$12</f>
        <v>11</v>
      </c>
      <c r="E12" s="17" t="n">
        <f aca="false">calc!$E$12</f>
        <v>10</v>
      </c>
      <c r="F12" s="12" t="n">
        <v>11</v>
      </c>
      <c r="G12" s="71" t="n">
        <f aca="false">'L  B'!$G$12</f>
        <v>31.6220685573485</v>
      </c>
      <c r="H12" s="72" t="n">
        <f aca="false">calc!$AN$12</f>
        <v>199.574037450289</v>
      </c>
      <c r="I12" s="10" t="n">
        <f aca="false">calc!$Z$12</f>
        <v>-1.0762440743104</v>
      </c>
      <c r="J12" s="10" t="n">
        <f aca="false">IF(ABS(I12)/$C$17&lt;1,I12/$C$17,"")</f>
        <v>-0.681167135639492</v>
      </c>
      <c r="K12" s="15" t="n">
        <f aca="false">H12-G12</f>
        <v>167.951968892941</v>
      </c>
      <c r="L12" s="10" t="str">
        <f aca="false">IF(ABS(K12/$C$18)&lt;1,K12/$C$18,"")</f>
        <v/>
      </c>
      <c r="M12" s="85" t="str">
        <f aca="false">IF(OR(J12="",L12=""),"",ABS(J12)+ABS(L12))</f>
        <v/>
      </c>
      <c r="N12" s="10" t="n">
        <f aca="false">10*I12</f>
        <v>-10.762440743104</v>
      </c>
    </row>
    <row r="13" customFormat="false" ht="15" hidden="false" customHeight="false" outlineLevel="0" collapsed="false">
      <c r="A13" s="12" t="s">
        <v>89</v>
      </c>
      <c r="B13" s="12" t="s">
        <v>95</v>
      </c>
      <c r="C13" s="12" t="n">
        <v>1.03</v>
      </c>
      <c r="D13" s="12" t="n">
        <f aca="false">calc!$D$13</f>
        <v>12</v>
      </c>
      <c r="E13" s="17" t="n">
        <f aca="false">calc!$E$13</f>
        <v>10</v>
      </c>
      <c r="F13" s="12" t="n">
        <v>12</v>
      </c>
      <c r="G13" s="71" t="n">
        <f aca="false">'L  B'!$G$13</f>
        <v>44.6324228596143</v>
      </c>
      <c r="H13" s="72" t="n">
        <f aca="false">calc!$AN$13</f>
        <v>200.559684814176</v>
      </c>
      <c r="I13" s="10" t="n">
        <f aca="false">calc!$Z$13</f>
        <v>0.108459902262384</v>
      </c>
      <c r="J13" s="10" t="n">
        <f aca="false">IF(ABS(I13)/$C$17&lt;1,I13/$C$17,"")</f>
        <v>0.0686455077610024</v>
      </c>
      <c r="K13" s="15" t="n">
        <f aca="false">H13-G13</f>
        <v>155.927261954562</v>
      </c>
      <c r="L13" s="10" t="str">
        <f aca="false">IF(ABS(K13/$C$18)&lt;1,K13/$C$18,"")</f>
        <v/>
      </c>
      <c r="M13" s="85" t="str">
        <f aca="false">IF(OR(J13="",L13=""),"",ABS(J13)+ABS(L13))</f>
        <v/>
      </c>
      <c r="N13" s="10" t="n">
        <f aca="false">10*I13</f>
        <v>1.08459902262384</v>
      </c>
    </row>
    <row r="14" customFormat="false" ht="15" hidden="false" customHeight="false" outlineLevel="0" collapsed="false">
      <c r="A14" s="12" t="s">
        <v>91</v>
      </c>
      <c r="B14" s="12" t="s">
        <v>96</v>
      </c>
      <c r="C14" s="12" t="n">
        <v>11.32</v>
      </c>
      <c r="D14" s="12" t="n">
        <f aca="false">calc!$D$14</f>
        <v>13</v>
      </c>
      <c r="E14" s="17" t="n">
        <f aca="false">calc!$E$14</f>
        <v>10</v>
      </c>
      <c r="F14" s="12" t="n">
        <v>13</v>
      </c>
      <c r="G14" s="71" t="n">
        <f aca="false">'L  B'!$G$14</f>
        <v>57.3151452053725</v>
      </c>
      <c r="H14" s="72" t="n">
        <f aca="false">calc!$AN$14</f>
        <v>201.545332178061</v>
      </c>
      <c r="I14" s="10" t="n">
        <f aca="false">calc!$Z$14</f>
        <v>1.26054652737502</v>
      </c>
      <c r="J14" s="10" t="n">
        <f aca="false">IF(ABS(I14)/$C$17&lt;1,I14/$C$17,"")</f>
        <v>0.797814257832292</v>
      </c>
      <c r="K14" s="15" t="n">
        <f aca="false">H14-G14</f>
        <v>144.230186972688</v>
      </c>
      <c r="L14" s="10" t="str">
        <f aca="false">IF(ABS(K14/$C$18)&lt;1,K14/$C$18,"")</f>
        <v/>
      </c>
      <c r="M14" s="85" t="str">
        <f aca="false">IF(OR(J14="",L14=""),"",ABS(J14)+ABS(L14))</f>
        <v/>
      </c>
      <c r="N14" s="10" t="n">
        <f aca="false">10*I14</f>
        <v>12.6054652737502</v>
      </c>
    </row>
    <row r="15" customFormat="false" ht="15" hidden="false" customHeight="false" outlineLevel="0" collapsed="false">
      <c r="D15" s="12" t="n">
        <f aca="false">calc!$D$15</f>
        <v>14</v>
      </c>
      <c r="E15" s="17" t="n">
        <f aca="false">calc!$E$15</f>
        <v>10</v>
      </c>
      <c r="F15" s="12" t="n">
        <v>14</v>
      </c>
      <c r="G15" s="71" t="n">
        <f aca="false">'L  B'!$G$15</f>
        <v>69.705445719407</v>
      </c>
      <c r="H15" s="72" t="n">
        <f aca="false">calc!$AN$15</f>
        <v>202.530979541949</v>
      </c>
      <c r="I15" s="10" t="n">
        <f aca="false">calc!$Z$15</f>
        <v>2.32754385636861</v>
      </c>
      <c r="J15" s="10" t="str">
        <f aca="false">IF(ABS(I15)/$C$17&lt;1,I15/$C$17,"")</f>
        <v/>
      </c>
      <c r="K15" s="15" t="n">
        <f aca="false">H15-G15</f>
        <v>132.825533822542</v>
      </c>
      <c r="L15" s="10" t="str">
        <f aca="false">IF(ABS(K15/$C$18)&lt;1,K15/$C$18,"")</f>
        <v/>
      </c>
      <c r="M15" s="85" t="str">
        <f aca="false">IF(OR(J15="",L15=""),"",ABS(J15)+ABS(L15))</f>
        <v/>
      </c>
      <c r="N15" s="10" t="n">
        <f aca="false">10*I15</f>
        <v>23.2754385636861</v>
      </c>
    </row>
    <row r="16" customFormat="false" ht="15.3" hidden="false" customHeight="false" outlineLevel="0" collapsed="false">
      <c r="B16" s="92" t="s">
        <v>97</v>
      </c>
      <c r="C16" s="93" t="s">
        <v>98</v>
      </c>
      <c r="D16" s="12" t="n">
        <f aca="false">calc!$D$16</f>
        <v>15</v>
      </c>
      <c r="E16" s="17" t="n">
        <f aca="false">calc!$E$16</f>
        <v>10</v>
      </c>
      <c r="F16" s="12" t="n">
        <v>15</v>
      </c>
      <c r="G16" s="71" t="n">
        <f aca="false">'L  B'!$G$16</f>
        <v>81.8601784336473</v>
      </c>
      <c r="H16" s="72" t="n">
        <f aca="false">calc!$AN$16</f>
        <v>203.516626905834</v>
      </c>
      <c r="I16" s="10" t="n">
        <f aca="false">calc!$Z$16</f>
        <v>3.26848842353458</v>
      </c>
      <c r="J16" s="10" t="str">
        <f aca="false">IF(ABS(I16)/$C$17&lt;1,I16/$C$17,"")</f>
        <v/>
      </c>
      <c r="K16" s="15" t="n">
        <f aca="false">H16-G16</f>
        <v>121.656448472186</v>
      </c>
      <c r="L16" s="10" t="str">
        <f aca="false">IF(ABS(K16/$C$18)&lt;1,K16/$C$18,"")</f>
        <v/>
      </c>
      <c r="M16" s="85" t="str">
        <f aca="false">IF(OR(J16="",L16=""),"",ABS(J16)+ABS(L16))</f>
        <v/>
      </c>
      <c r="N16" s="10" t="n">
        <f aca="false">10*I16</f>
        <v>32.6848842353458</v>
      </c>
    </row>
    <row r="17" customFormat="false" ht="15" hidden="false" customHeight="false" outlineLevel="0" collapsed="false">
      <c r="B17" s="58" t="s">
        <v>89</v>
      </c>
      <c r="C17" s="92" t="n">
        <v>1.58</v>
      </c>
      <c r="D17" s="12" t="n">
        <f aca="false">calc!$D$17</f>
        <v>16</v>
      </c>
      <c r="E17" s="17" t="n">
        <f aca="false">calc!$E$17</f>
        <v>10</v>
      </c>
      <c r="F17" s="12" t="n">
        <v>16</v>
      </c>
      <c r="G17" s="71" t="n">
        <f aca="false">'L  B'!$G$17</f>
        <v>93.8493767731956</v>
      </c>
      <c r="H17" s="72" t="n">
        <f aca="false">calc!$AN$17</f>
        <v>204.50227426972</v>
      </c>
      <c r="I17" s="10" t="n">
        <f aca="false">calc!$Z$17</f>
        <v>4.05219005303252</v>
      </c>
      <c r="J17" s="10" t="str">
        <f aca="false">IF(ABS(I17)/$C$17&lt;1,I17/$C$17,"")</f>
        <v/>
      </c>
      <c r="K17" s="15" t="n">
        <f aca="false">H17-G17</f>
        <v>110.652897496525</v>
      </c>
      <c r="L17" s="10" t="str">
        <f aca="false">IF(ABS(K17/$C$18)&lt;1,K17/$C$18,"")</f>
        <v/>
      </c>
      <c r="M17" s="85" t="str">
        <f aca="false">IF(OR(J17="",L17=""),"",ABS(J17)+ABS(L17))</f>
        <v/>
      </c>
      <c r="N17" s="10" t="n">
        <f aca="false">10*I17</f>
        <v>40.5219005303252</v>
      </c>
    </row>
    <row r="18" customFormat="false" ht="15" hidden="false" customHeight="false" outlineLevel="0" collapsed="false">
      <c r="B18" s="58" t="s">
        <v>99</v>
      </c>
      <c r="C18" s="92" t="n">
        <v>17.4</v>
      </c>
      <c r="D18" s="12" t="n">
        <f aca="false">calc!$D$18</f>
        <v>17</v>
      </c>
      <c r="E18" s="17" t="n">
        <f aca="false">calc!$E$18</f>
        <v>10</v>
      </c>
      <c r="F18" s="12" t="n">
        <v>17</v>
      </c>
      <c r="G18" s="71" t="n">
        <f aca="false">'L  B'!$G$18</f>
        <v>105.748480137638</v>
      </c>
      <c r="H18" s="72" t="n">
        <f aca="false">calc!$AN$18</f>
        <v>205.487921633607</v>
      </c>
      <c r="I18" s="10" t="n">
        <f aca="false">calc!$Z$18</f>
        <v>4.65476392803579</v>
      </c>
      <c r="J18" s="10" t="str">
        <f aca="false">IF(ABS(I18)/$C$17&lt;1,I18/$C$17,"")</f>
        <v/>
      </c>
      <c r="K18" s="15" t="n">
        <f aca="false">H18-G18</f>
        <v>99.7394414959691</v>
      </c>
      <c r="L18" s="10" t="str">
        <f aca="false">IF(ABS(K18/$C$18)&lt;1,K18/$C$18,"")</f>
        <v/>
      </c>
      <c r="M18" s="85" t="str">
        <f aca="false">IF(OR(J18="",L18=""),"",ABS(J18)+ABS(L18))</f>
        <v/>
      </c>
      <c r="N18" s="10" t="n">
        <f aca="false">10*I18</f>
        <v>46.5476392803579</v>
      </c>
    </row>
    <row r="19" customFormat="false" ht="15" hidden="false" customHeight="false" outlineLevel="0" collapsed="false">
      <c r="B19" s="94"/>
      <c r="D19" s="12" t="n">
        <f aca="false">calc!$D$19</f>
        <v>18</v>
      </c>
      <c r="E19" s="17" t="n">
        <f aca="false">calc!$E$19</f>
        <v>10</v>
      </c>
      <c r="F19" s="12" t="n">
        <v>18</v>
      </c>
      <c r="G19" s="71" t="n">
        <f aca="false">'L  B'!$G$19</f>
        <v>117.632975062265</v>
      </c>
      <c r="H19" s="72" t="n">
        <f aca="false">calc!$AN$19</f>
        <v>206.473568997493</v>
      </c>
      <c r="I19" s="10" t="n">
        <f aca="false">calc!$Z$19</f>
        <v>5.05742708445702</v>
      </c>
      <c r="J19" s="10" t="str">
        <f aca="false">IF(ABS(I19)/$C$17&lt;1,I19/$C$17,"")</f>
        <v/>
      </c>
      <c r="K19" s="15" t="n">
        <f aca="false">H19-G19</f>
        <v>88.840593935228</v>
      </c>
      <c r="L19" s="10" t="str">
        <f aca="false">IF(ABS(K19/$C$18)&lt;1,K19/$C$18,"")</f>
        <v/>
      </c>
      <c r="M19" s="85" t="str">
        <f aca="false">IF(OR(J19="",L19=""),"",ABS(J19)+ABS(L19))</f>
        <v/>
      </c>
      <c r="N19" s="10" t="n">
        <f aca="false">10*I19</f>
        <v>50.5742708445702</v>
      </c>
    </row>
    <row r="20" customFormat="false" ht="15" hidden="false" customHeight="false" outlineLevel="0" collapsed="false">
      <c r="D20" s="12" t="n">
        <f aca="false">calc!$D$20</f>
        <v>19</v>
      </c>
      <c r="E20" s="17" t="n">
        <f aca="false">calc!$E$20</f>
        <v>10</v>
      </c>
      <c r="F20" s="12" t="n">
        <v>19</v>
      </c>
      <c r="G20" s="71" t="n">
        <f aca="false">'L  B'!$G$20</f>
        <v>129.575763040524</v>
      </c>
      <c r="H20" s="72" t="n">
        <f aca="false">calc!$AN$20</f>
        <v>207.459216361383</v>
      </c>
      <c r="I20" s="10" t="n">
        <f aca="false">calc!$Z$20</f>
        <v>5.24506577133416</v>
      </c>
      <c r="J20" s="10" t="str">
        <f aca="false">IF(ABS(I20)/$C$17&lt;1,I20/$C$17,"")</f>
        <v/>
      </c>
      <c r="K20" s="15" t="n">
        <f aca="false">H20-G20</f>
        <v>77.8834533208592</v>
      </c>
      <c r="L20" s="10" t="str">
        <f aca="false">IF(ABS(K20/$C$18)&lt;1,K20/$C$18,"")</f>
        <v/>
      </c>
      <c r="M20" s="85" t="str">
        <f aca="false">IF(OR(J20="",L20=""),"",ABS(J20)+ABS(L20))</f>
        <v/>
      </c>
      <c r="N20" s="10" t="n">
        <f aca="false">10*I20</f>
        <v>52.4506577133416</v>
      </c>
    </row>
    <row r="21" customFormat="false" ht="15" hidden="false" customHeight="false" outlineLevel="0" collapsed="false">
      <c r="D21" s="12" t="n">
        <f aca="false">calc!$D$21</f>
        <v>20</v>
      </c>
      <c r="E21" s="17" t="n">
        <f aca="false">calc!$E$21</f>
        <v>10</v>
      </c>
      <c r="F21" s="12" t="n">
        <v>20</v>
      </c>
      <c r="G21" s="71" t="n">
        <f aca="false">'L  B'!$G$21</f>
        <v>141.646210018675</v>
      </c>
      <c r="H21" s="72" t="n">
        <f aca="false">calc!$AN$21</f>
        <v>208.444863725274</v>
      </c>
      <c r="I21" s="10" t="n">
        <f aca="false">calc!$Z$21</f>
        <v>5.20576197949573</v>
      </c>
      <c r="J21" s="10" t="str">
        <f aca="false">IF(ABS(I21)/$C$17&lt;1,I21/$C$17,"")</f>
        <v/>
      </c>
      <c r="K21" s="15" t="n">
        <f aca="false">H21-G21</f>
        <v>66.798653706599</v>
      </c>
      <c r="L21" s="10" t="str">
        <f aca="false">IF(ABS(K21/$C$18)&lt;1,K21/$C$18,"")</f>
        <v/>
      </c>
      <c r="M21" s="85" t="str">
        <f aca="false">IF(OR(J21="",L21=""),"",ABS(J21)+ABS(L21))</f>
        <v/>
      </c>
      <c r="N21" s="10" t="n">
        <f aca="false">10*I21</f>
        <v>52.0576197949573</v>
      </c>
    </row>
    <row r="22" customFormat="false" ht="15" hidden="false" customHeight="false" outlineLevel="0" collapsed="false">
      <c r="C22" s="54"/>
      <c r="D22" s="12" t="n">
        <f aca="false">calc!$D$22</f>
        <v>21</v>
      </c>
      <c r="E22" s="17" t="n">
        <f aca="false">calc!$E$22</f>
        <v>10</v>
      </c>
      <c r="F22" s="12" t="n">
        <v>21</v>
      </c>
      <c r="G22" s="71" t="n">
        <f aca="false">'L  B'!$G$22</f>
        <v>153.909107844903</v>
      </c>
      <c r="H22" s="72" t="n">
        <f aca="false">calc!$AN$22</f>
        <v>209.430511089164</v>
      </c>
      <c r="I22" s="10" t="n">
        <f aca="false">calc!$Z$22</f>
        <v>4.93141294976467</v>
      </c>
      <c r="J22" s="10" t="str">
        <f aca="false">IF(ABS(I22)/$C$17&lt;1,I22/$C$17,"")</f>
        <v/>
      </c>
      <c r="K22" s="15" t="n">
        <f aca="false">H22-G22</f>
        <v>55.521403244261</v>
      </c>
      <c r="L22" s="10" t="str">
        <f aca="false">IF(ABS(K22/$C$18)&lt;1,K22/$C$18,"")</f>
        <v/>
      </c>
      <c r="M22" s="85" t="str">
        <f aca="false">IF(OR(J22="",L22=""),"",ABS(J22)+ABS(L22))</f>
        <v/>
      </c>
      <c r="N22" s="10" t="n">
        <f aca="false">10*I22</f>
        <v>49.3141294976467</v>
      </c>
    </row>
    <row r="23" customFormat="false" ht="15" hidden="false" customHeight="false" outlineLevel="0" collapsed="false">
      <c r="D23" s="12" t="n">
        <f aca="false">calc!$D$23</f>
        <v>22</v>
      </c>
      <c r="E23" s="17" t="n">
        <f aca="false">calc!$E$23</f>
        <v>10</v>
      </c>
      <c r="F23" s="12" t="n">
        <v>22</v>
      </c>
      <c r="G23" s="71" t="n">
        <f aca="false">'L  B'!$G$23</f>
        <v>166.421980366643</v>
      </c>
      <c r="H23" s="72" t="n">
        <f aca="false">calc!$AN$23</f>
        <v>210.416158453054</v>
      </c>
      <c r="I23" s="10" t="n">
        <f aca="false">calc!$Z$23</f>
        <v>4.41963138857495</v>
      </c>
      <c r="J23" s="10" t="str">
        <f aca="false">IF(ABS(I23)/$C$17&lt;1,I23/$C$17,"")</f>
        <v/>
      </c>
      <c r="K23" s="15" t="n">
        <f aca="false">H23-G23</f>
        <v>43.9941780864114</v>
      </c>
      <c r="L23" s="10" t="str">
        <f aca="false">IF(ABS(K23/$C$18)&lt;1,K23/$C$18,"")</f>
        <v/>
      </c>
      <c r="M23" s="85" t="str">
        <f aca="false">IF(OR(J23="",L23=""),"",ABS(J23)+ABS(L23))</f>
        <v/>
      </c>
      <c r="N23" s="10" t="n">
        <f aca="false">10*I23</f>
        <v>44.1963138857495</v>
      </c>
    </row>
    <row r="24" customFormat="false" ht="15" hidden="false" customHeight="false" outlineLevel="0" collapsed="false">
      <c r="D24" s="12" t="n">
        <f aca="false">calc!$D$24</f>
        <v>23</v>
      </c>
      <c r="E24" s="17" t="n">
        <f aca="false">calc!$E$24</f>
        <v>10</v>
      </c>
      <c r="F24" s="12" t="n">
        <v>23</v>
      </c>
      <c r="G24" s="71" t="n">
        <f aca="false">'L  B'!$G$24</f>
        <v>179.230188828809</v>
      </c>
      <c r="H24" s="72" t="n">
        <f aca="false">calc!$AN$24</f>
        <v>211.401805816944</v>
      </c>
      <c r="I24" s="10" t="n">
        <f aca="false">calc!$Z$24</f>
        <v>3.67700282776604</v>
      </c>
      <c r="J24" s="10" t="str">
        <f aca="false">IF(ABS(I24)/$C$17&lt;1,I24/$C$17,"")</f>
        <v/>
      </c>
      <c r="K24" s="15" t="n">
        <f aca="false">H24-G24</f>
        <v>32.1716169881347</v>
      </c>
      <c r="L24" s="10" t="str">
        <f aca="false">IF(ABS(K24/$C$18)&lt;1,K24/$C$18,"")</f>
        <v/>
      </c>
      <c r="M24" s="85" t="str">
        <f aca="false">IF(OR(J24="",L24=""),"",ABS(J24)+ABS(L24))</f>
        <v/>
      </c>
      <c r="N24" s="10" t="n">
        <f aca="false">10*I24</f>
        <v>36.7700282776604</v>
      </c>
    </row>
    <row r="25" customFormat="false" ht="15" hidden="false" customHeight="false" outlineLevel="0" collapsed="false">
      <c r="D25" s="12" t="n">
        <f aca="false">calc!$D$25</f>
        <v>24</v>
      </c>
      <c r="E25" s="17" t="n">
        <f aca="false">calc!$E$25</f>
        <v>10</v>
      </c>
      <c r="F25" s="12" t="n">
        <v>24</v>
      </c>
      <c r="G25" s="71" t="n">
        <f aca="false">'L  B'!$G$25</f>
        <v>192.36067118198</v>
      </c>
      <c r="H25" s="72" t="n">
        <f aca="false">calc!$AN$25</f>
        <v>212.387453180836</v>
      </c>
      <c r="I25" s="10" t="n">
        <f aca="false">calc!$Z$25</f>
        <v>2.72330466048128</v>
      </c>
      <c r="J25" s="10" t="str">
        <f aca="false">IF(ABS(I25)/$C$17&lt;1,I25/$C$17,"")</f>
        <v/>
      </c>
      <c r="K25" s="15" t="n">
        <f aca="false">H25-G25</f>
        <v>20.0267819988563</v>
      </c>
      <c r="L25" s="10" t="str">
        <f aca="false">IF(ABS(K25/$C$18)&lt;1,K25/$C$18,"")</f>
        <v/>
      </c>
      <c r="M25" s="85" t="str">
        <f aca="false">IF(OR(J25="",L25=""),"",ABS(J25)+ABS(L25))</f>
        <v/>
      </c>
      <c r="N25" s="10" t="n">
        <f aca="false">10*I25</f>
        <v>27.2330466048128</v>
      </c>
    </row>
    <row r="26" customFormat="false" ht="15" hidden="false" customHeight="false" outlineLevel="0" collapsed="false">
      <c r="D26" s="12" t="n">
        <f aca="false">calc!$D$26</f>
        <v>25</v>
      </c>
      <c r="E26" s="17" t="n">
        <f aca="false">calc!$E$26</f>
        <v>10</v>
      </c>
      <c r="F26" s="12" t="n">
        <v>25</v>
      </c>
      <c r="G26" s="71" t="n">
        <f aca="false">'L  B'!$G$26</f>
        <v>205.816267759778</v>
      </c>
      <c r="H26" s="72" t="n">
        <f aca="false">calc!$AN$26</f>
        <v>213.373100544726</v>
      </c>
      <c r="I26" s="10" t="n">
        <f aca="false">calc!$Z$26</f>
        <v>1.59552762392545</v>
      </c>
      <c r="J26" s="10" t="str">
        <f aca="false">IF(ABS(I26)/$C$17&lt;1,I26/$C$17,"")</f>
        <v/>
      </c>
      <c r="K26" s="15" t="n">
        <f aca="false">H26-G26</f>
        <v>7.55683278494834</v>
      </c>
      <c r="L26" s="10" t="n">
        <f aca="false">IF(ABS(K26/$C$18)&lt;1,K26/$C$18,"")</f>
        <v>0.434300734767146</v>
      </c>
      <c r="M26" s="85" t="str">
        <f aca="false">IF(OR(J26="",L26=""),"",ABS(J26)+ABS(L26))</f>
        <v/>
      </c>
      <c r="N26" s="10" t="n">
        <f aca="false">10*I26</f>
        <v>15.9552762392545</v>
      </c>
    </row>
    <row r="27" customFormat="false" ht="15" hidden="false" customHeight="false" outlineLevel="0" collapsed="false">
      <c r="D27" s="12" t="n">
        <f aca="false">calc!$D$27</f>
        <v>26</v>
      </c>
      <c r="E27" s="17" t="n">
        <f aca="false">calc!$E$27</f>
        <v>10</v>
      </c>
      <c r="F27" s="12" t="n">
        <v>26</v>
      </c>
      <c r="G27" s="71" t="n">
        <f aca="false">'L  B'!$G$27</f>
        <v>219.572924035865</v>
      </c>
      <c r="H27" s="72" t="n">
        <f aca="false">calc!$AN$27</f>
        <v>214.358747908616</v>
      </c>
      <c r="I27" s="10" t="n">
        <f aca="false">calc!$Z$27</f>
        <v>0.349888750256671</v>
      </c>
      <c r="J27" s="10" t="n">
        <f aca="false">IF(ABS(I27)/$C$17&lt;1,I27/$C$17,"")</f>
        <v>0.221448576111817</v>
      </c>
      <c r="K27" s="15" t="n">
        <f aca="false">H27-G27</f>
        <v>-5.21417612724821</v>
      </c>
      <c r="L27" s="10" t="n">
        <f aca="false">IF(ABS(K27/$C$18)&lt;1,K27/$C$18,"")</f>
        <v>-0.299665294669437</v>
      </c>
      <c r="M27" s="85" t="n">
        <f aca="false">IF(OR(J27="",L27=""),"",ABS(J27)+ABS(L27))</f>
        <v>0.521113870781255</v>
      </c>
      <c r="N27" s="10" t="n">
        <f aca="false">10*I27</f>
        <v>3.49888750256671</v>
      </c>
    </row>
    <row r="28" customFormat="false" ht="15" hidden="false" customHeight="false" outlineLevel="0" collapsed="false">
      <c r="D28" s="12" t="n">
        <f aca="false">calc!$D$28</f>
        <v>27</v>
      </c>
      <c r="E28" s="17" t="n">
        <f aca="false">calc!$E$28</f>
        <v>10</v>
      </c>
      <c r="F28" s="12" t="n">
        <v>27</v>
      </c>
      <c r="G28" s="71" t="n">
        <f aca="false">'L  B'!$G$28</f>
        <v>233.581423834797</v>
      </c>
      <c r="H28" s="72" t="n">
        <f aca="false">calc!$AN$28</f>
        <v>215.344395272508</v>
      </c>
      <c r="I28" s="10" t="n">
        <f aca="false">calc!$Z$28</f>
        <v>-0.939936300098635</v>
      </c>
      <c r="J28" s="10" t="n">
        <f aca="false">IF(ABS(I28)/$C$17&lt;1,I28/$C$17,"")</f>
        <v>-0.594896392467491</v>
      </c>
      <c r="K28" s="15" t="n">
        <f aca="false">H28-G28</f>
        <v>-18.2370285622891</v>
      </c>
      <c r="L28" s="10" t="str">
        <f aca="false">IF(ABS(K28/$C$18)&lt;1,K28/$C$18,"")</f>
        <v/>
      </c>
      <c r="M28" s="85" t="str">
        <f aca="false">IF(OR(J28="",L28=""),"",ABS(J28)+ABS(L28))</f>
        <v/>
      </c>
      <c r="N28" s="10" t="n">
        <f aca="false">10*I28</f>
        <v>-9.39936300098635</v>
      </c>
    </row>
    <row r="29" customFormat="false" ht="15" hidden="false" customHeight="false" outlineLevel="0" collapsed="false">
      <c r="D29" s="12" t="n">
        <f aca="false">calc!$D$29</f>
        <v>28</v>
      </c>
      <c r="E29" s="17" t="n">
        <f aca="false">calc!$E$29</f>
        <v>10</v>
      </c>
      <c r="F29" s="12" t="n">
        <v>28</v>
      </c>
      <c r="G29" s="71" t="n">
        <f aca="false">'L  B'!$G$29</f>
        <v>247.773905032934</v>
      </c>
      <c r="H29" s="72" t="n">
        <f aca="false">calc!$AN$29</f>
        <v>216.330042636402</v>
      </c>
      <c r="I29" s="10" t="n">
        <f aca="false">calc!$Z$29</f>
        <v>-2.18906381211348</v>
      </c>
      <c r="J29" s="10" t="str">
        <f aca="false">IF(ABS(I29)/$C$17&lt;1,I29/$C$17,"")</f>
        <v/>
      </c>
      <c r="K29" s="15" t="n">
        <f aca="false">H29-G29</f>
        <v>-31.4438623965321</v>
      </c>
      <c r="L29" s="10" t="str">
        <f aca="false">IF(ABS(K29/$C$18)&lt;1,K29/$C$18,"")</f>
        <v/>
      </c>
      <c r="M29" s="85" t="str">
        <f aca="false">IF(OR(J29="",L29=""),"",ABS(J29)+ABS(L29))</f>
        <v/>
      </c>
      <c r="N29" s="10" t="n">
        <f aca="false">10*I29</f>
        <v>-21.8906381211348</v>
      </c>
    </row>
    <row r="30" customFormat="false" ht="15" hidden="false" customHeight="false" outlineLevel="0" collapsed="false">
      <c r="D30" s="12" t="n">
        <f aca="false">calc!$D$30</f>
        <v>29</v>
      </c>
      <c r="E30" s="12" t="n">
        <f aca="false">calc!$E$30</f>
        <v>10</v>
      </c>
      <c r="F30" s="12" t="n">
        <v>29</v>
      </c>
      <c r="G30" s="71" t="n">
        <f aca="false">'L  B'!$G$30</f>
        <v>262.073781214146</v>
      </c>
      <c r="H30" s="72" t="n">
        <f aca="false">calc!$AN$30</f>
        <v>217.315690000296</v>
      </c>
      <c r="I30" s="10" t="n">
        <f aca="false">calc!$Z$30</f>
        <v>-3.31106006015076</v>
      </c>
      <c r="J30" s="10" t="str">
        <f aca="false">IF(ABS(I30)/$C$17&lt;1,I30/$C$17,"")</f>
        <v/>
      </c>
      <c r="K30" s="15" t="n">
        <f aca="false">H30-G30</f>
        <v>-44.7580912138496</v>
      </c>
      <c r="L30" s="10" t="str">
        <f aca="false">IF(ABS(K30/$C$18)&lt;1,K30/$C$18,"")</f>
        <v/>
      </c>
      <c r="M30" s="85" t="str">
        <f aca="false">IF(OR(J30="",L30=""),"",ABS(J30)+ABS(L30))</f>
        <v/>
      </c>
      <c r="N30" s="10" t="n">
        <f aca="false">10*I30</f>
        <v>-33.1106006015076</v>
      </c>
    </row>
    <row r="31" customFormat="false" ht="15" hidden="false" customHeight="false" outlineLevel="0" collapsed="false">
      <c r="D31" s="12" t="n">
        <f aca="false">calc!$D$31</f>
        <v>30</v>
      </c>
      <c r="E31" s="12" t="n">
        <f aca="false">calc!$E$31</f>
        <v>10</v>
      </c>
      <c r="F31" s="12" t="n">
        <v>30</v>
      </c>
      <c r="G31" s="71" t="n">
        <f aca="false">'L  B'!$G$31</f>
        <v>276.406481697268</v>
      </c>
      <c r="H31" s="72" t="n">
        <f aca="false">calc!$AN$31</f>
        <v>218.301337364186</v>
      </c>
      <c r="I31" s="10" t="n">
        <f aca="false">calc!$Z$31</f>
        <v>-4.22841863332811</v>
      </c>
      <c r="J31" s="10" t="str">
        <f aca="false">IF(ABS(I31)/$C$17&lt;1,I31/$C$17,"")</f>
        <v/>
      </c>
      <c r="K31" s="15" t="n">
        <f aca="false">H31-G31</f>
        <v>-58.105144333082</v>
      </c>
      <c r="L31" s="10" t="str">
        <f aca="false">IF(ABS(K31/$C$18)&lt;1,K31/$C$18,"")</f>
        <v/>
      </c>
      <c r="M31" s="85" t="str">
        <f aca="false">IF(OR(J31="",L31=""),"",ABS(J31)+ABS(L31))</f>
        <v/>
      </c>
      <c r="N31" s="10" t="n">
        <f aca="false">10*I31</f>
        <v>-42.2841863332811</v>
      </c>
    </row>
    <row r="32" customFormat="false" ht="15" hidden="false" customHeight="false" outlineLevel="0" collapsed="false">
      <c r="D32" s="12" t="n">
        <f aca="false">calc!$D$32</f>
        <v>31</v>
      </c>
      <c r="E32" s="12" t="n">
        <f aca="false">calc!$E$32</f>
        <v>10</v>
      </c>
      <c r="F32" s="12" t="n">
        <v>31</v>
      </c>
      <c r="G32" s="71" t="n">
        <f aca="false">'L  B'!$G$32</f>
        <v>290.708118788149</v>
      </c>
      <c r="H32" s="72" t="n">
        <f aca="false">calc!$AN$32</f>
        <v>219.286984728082</v>
      </c>
      <c r="I32" s="10" t="n">
        <f aca="false">calc!$Z$32</f>
        <v>-4.88099771490685</v>
      </c>
      <c r="J32" s="10" t="str">
        <f aca="false">IF(ABS(I32)/$C$17&lt;1,I32/$C$17,"")</f>
        <v/>
      </c>
      <c r="K32" s="15" t="n">
        <f aca="false">H32-G32</f>
        <v>-71.421134060067</v>
      </c>
      <c r="L32" s="10" t="str">
        <f aca="false">IF(ABS(K32/$C$18)&lt;1,K32/$C$18,"")</f>
        <v/>
      </c>
      <c r="M32" s="85" t="str">
        <f aca="false">IF(OR(J32="",L32=""),"",ABS(J32)+ABS(L32))</f>
        <v/>
      </c>
      <c r="N32" s="10" t="n">
        <f aca="false">10*I32</f>
        <v>-48.8099771490684</v>
      </c>
    </row>
    <row r="33" customFormat="false" ht="15" hidden="false" customHeight="false" outlineLevel="0" collapsed="false">
      <c r="A33" s="0" t="s">
        <v>100</v>
      </c>
      <c r="H33" s="92"/>
    </row>
    <row r="34" customFormat="false" ht="15" hidden="false" customHeight="false" outlineLevel="0" collapsed="false">
      <c r="A34" s="0" t="s">
        <v>101</v>
      </c>
      <c r="H34" s="92"/>
    </row>
    <row r="35" customFormat="false" ht="15" hidden="false" customHeight="false" outlineLevel="0" collapsed="false">
      <c r="H35" s="92"/>
    </row>
    <row r="36" customFormat="false" ht="15" hidden="false" customHeight="false" outlineLevel="0" collapsed="false">
      <c r="H36" s="92"/>
    </row>
    <row r="37" customFormat="false" ht="15" hidden="false" customHeight="false" outlineLevel="0" collapsed="false">
      <c r="H37" s="92"/>
    </row>
    <row r="38" customFormat="false" ht="15" hidden="false" customHeight="false" outlineLevel="0" collapsed="false">
      <c r="H38" s="92"/>
    </row>
    <row r="39" customFormat="false" ht="15" hidden="false" customHeight="false" outlineLevel="0" collapsed="false">
      <c r="H39" s="92"/>
    </row>
    <row r="40" customFormat="false" ht="15" hidden="false" customHeight="false" outlineLevel="0" collapsed="false">
      <c r="H40" s="92"/>
    </row>
    <row r="41" customFormat="false" ht="15" hidden="false" customHeight="false" outlineLevel="0" collapsed="false">
      <c r="H41" s="92"/>
    </row>
    <row r="42" customFormat="false" ht="15" hidden="false" customHeight="false" outlineLevel="0" collapsed="false">
      <c r="H42" s="92"/>
    </row>
    <row r="43" customFormat="false" ht="15" hidden="false" customHeight="false" outlineLevel="0" collapsed="false">
      <c r="H43" s="92"/>
    </row>
    <row r="44" customFormat="false" ht="15" hidden="false" customHeight="false" outlineLevel="0" collapsed="false">
      <c r="H44" s="92"/>
    </row>
    <row r="45" customFormat="false" ht="15" hidden="false" customHeight="false" outlineLevel="0" collapsed="false">
      <c r="H45" s="92"/>
    </row>
    <row r="46" customFormat="false" ht="15" hidden="false" customHeight="false" outlineLevel="0" collapsed="false">
      <c r="H46" s="92"/>
    </row>
    <row r="47" customFormat="false" ht="15" hidden="false" customHeight="false" outlineLevel="0" collapsed="false">
      <c r="H47" s="92"/>
    </row>
    <row r="48" customFormat="false" ht="15" hidden="false" customHeight="false" outlineLevel="0" collapsed="false">
      <c r="H48" s="92"/>
    </row>
    <row r="49" customFormat="false" ht="15" hidden="false" customHeight="false" outlineLevel="0" collapsed="false">
      <c r="H49" s="92"/>
    </row>
    <row r="50" customFormat="false" ht="15" hidden="false" customHeight="false" outlineLevel="0" collapsed="false">
      <c r="H50" s="92"/>
    </row>
    <row r="51" customFormat="false" ht="15" hidden="false" customHeight="false" outlineLevel="0" collapsed="false">
      <c r="H51" s="92"/>
    </row>
    <row r="52" customFormat="false" ht="15" hidden="false" customHeight="false" outlineLevel="0" collapsed="false">
      <c r="H52" s="92"/>
    </row>
    <row r="53" customFormat="false" ht="15" hidden="false" customHeight="false" outlineLevel="0" collapsed="false">
      <c r="H53" s="92"/>
    </row>
    <row r="54" customFormat="false" ht="15" hidden="false" customHeight="false" outlineLevel="0" collapsed="false">
      <c r="H54" s="92"/>
    </row>
    <row r="55" customFormat="false" ht="15" hidden="false" customHeight="false" outlineLevel="0" collapsed="false">
      <c r="H55" s="92"/>
    </row>
    <row r="56" customFormat="false" ht="15" hidden="false" customHeight="false" outlineLevel="0" collapsed="false">
      <c r="H56" s="92"/>
    </row>
    <row r="57" customFormat="false" ht="15" hidden="false" customHeight="false" outlineLevel="0" collapsed="false">
      <c r="H57" s="92"/>
    </row>
    <row r="58" customFormat="false" ht="15" hidden="false" customHeight="false" outlineLevel="0" collapsed="false">
      <c r="H58" s="92"/>
    </row>
    <row r="59" customFormat="false" ht="15" hidden="false" customHeight="false" outlineLevel="0" collapsed="false">
      <c r="H59" s="92"/>
    </row>
    <row r="60" customFormat="false" ht="15" hidden="false" customHeight="false" outlineLevel="0" collapsed="false">
      <c r="H60" s="92"/>
    </row>
    <row r="61" customFormat="false" ht="15" hidden="false" customHeight="false" outlineLevel="0" collapsed="false">
      <c r="H61" s="92"/>
    </row>
    <row r="62" customFormat="false" ht="15" hidden="false" customHeight="false" outlineLevel="0" collapsed="false">
      <c r="H62" s="92"/>
    </row>
    <row r="63" customFormat="false" ht="15" hidden="false" customHeight="false" outlineLevel="0" collapsed="false">
      <c r="H63" s="92"/>
    </row>
    <row r="64" customFormat="false" ht="15" hidden="false" customHeight="false" outlineLevel="0" collapsed="false">
      <c r="H64" s="92"/>
    </row>
    <row r="65" customFormat="false" ht="15" hidden="false" customHeight="false" outlineLevel="0" collapsed="false">
      <c r="H65" s="92"/>
    </row>
    <row r="66" customFormat="false" ht="15" hidden="false" customHeight="false" outlineLevel="0" collapsed="false">
      <c r="H66" s="92"/>
    </row>
    <row r="67" customFormat="false" ht="15" hidden="false" customHeight="false" outlineLevel="0" collapsed="false">
      <c r="H67" s="92"/>
    </row>
    <row r="68" customFormat="false" ht="15" hidden="false" customHeight="false" outlineLevel="0" collapsed="false">
      <c r="H68" s="92"/>
    </row>
    <row r="69" customFormat="false" ht="15" hidden="false" customHeight="false" outlineLevel="0" collapsed="false">
      <c r="H69" s="92"/>
    </row>
    <row r="70" customFormat="false" ht="15" hidden="false" customHeight="false" outlineLevel="0" collapsed="false">
      <c r="H70" s="92"/>
    </row>
    <row r="71" customFormat="false" ht="15" hidden="false" customHeight="false" outlineLevel="0" collapsed="false">
      <c r="H71" s="92"/>
    </row>
    <row r="72" customFormat="false" ht="15" hidden="false" customHeight="false" outlineLevel="0" collapsed="false">
      <c r="H72" s="92"/>
    </row>
    <row r="73" customFormat="false" ht="15" hidden="false" customHeight="false" outlineLevel="0" collapsed="false">
      <c r="H73" s="92"/>
    </row>
    <row r="74" customFormat="false" ht="15" hidden="false" customHeight="false" outlineLevel="0" collapsed="false">
      <c r="H74" s="92"/>
    </row>
    <row r="75" customFormat="false" ht="15" hidden="false" customHeight="false" outlineLevel="0" collapsed="false">
      <c r="H75" s="92"/>
    </row>
    <row r="76" customFormat="false" ht="15" hidden="false" customHeight="false" outlineLevel="0" collapsed="false">
      <c r="H76" s="92"/>
    </row>
    <row r="77" customFormat="false" ht="15" hidden="false" customHeight="false" outlineLevel="0" collapsed="false">
      <c r="H77" s="92"/>
    </row>
    <row r="78" customFormat="false" ht="15" hidden="false" customHeight="false" outlineLevel="0" collapsed="false">
      <c r="H78" s="92"/>
    </row>
    <row r="79" customFormat="false" ht="15" hidden="false" customHeight="false" outlineLevel="0" collapsed="false">
      <c r="H79" s="92"/>
    </row>
    <row r="80" customFormat="false" ht="15" hidden="false" customHeight="false" outlineLevel="0" collapsed="false">
      <c r="H80" s="92"/>
    </row>
    <row r="81" customFormat="false" ht="15" hidden="false" customHeight="false" outlineLevel="0" collapsed="false">
      <c r="H81" s="92"/>
    </row>
    <row r="82" customFormat="false" ht="15" hidden="false" customHeight="false" outlineLevel="0" collapsed="false">
      <c r="H82" s="92"/>
    </row>
    <row r="83" customFormat="false" ht="15" hidden="false" customHeight="false" outlineLevel="0" collapsed="false">
      <c r="H83" s="92"/>
    </row>
    <row r="84" customFormat="false" ht="15" hidden="false" customHeight="false" outlineLevel="0" collapsed="false">
      <c r="H84" s="92"/>
    </row>
    <row r="85" customFormat="false" ht="15" hidden="false" customHeight="false" outlineLevel="0" collapsed="false">
      <c r="H85" s="92"/>
    </row>
    <row r="86" customFormat="false" ht="15" hidden="false" customHeight="false" outlineLevel="0" collapsed="false">
      <c r="H86" s="92"/>
    </row>
    <row r="87" customFormat="false" ht="15" hidden="false" customHeight="false" outlineLevel="0" collapsed="false">
      <c r="H87" s="92"/>
    </row>
    <row r="88" customFormat="false" ht="15" hidden="false" customHeight="false" outlineLevel="0" collapsed="false">
      <c r="H88" s="92"/>
    </row>
    <row r="89" customFormat="false" ht="15" hidden="false" customHeight="false" outlineLevel="0" collapsed="false">
      <c r="H89" s="92"/>
    </row>
    <row r="90" customFormat="false" ht="15" hidden="false" customHeight="false" outlineLevel="0" collapsed="false">
      <c r="H90" s="92"/>
    </row>
    <row r="91" customFormat="false" ht="15" hidden="false" customHeight="false" outlineLevel="0" collapsed="false">
      <c r="H91" s="92"/>
    </row>
    <row r="92" customFormat="false" ht="15" hidden="false" customHeight="false" outlineLevel="0" collapsed="false">
      <c r="H92" s="92"/>
    </row>
    <row r="93" customFormat="false" ht="15" hidden="false" customHeight="false" outlineLevel="0" collapsed="false">
      <c r="H93" s="92"/>
    </row>
    <row r="94" customFormat="false" ht="15" hidden="false" customHeight="false" outlineLevel="0" collapsed="false">
      <c r="H94" s="92"/>
    </row>
    <row r="95" customFormat="false" ht="15" hidden="false" customHeight="false" outlineLevel="0" collapsed="false">
      <c r="H95" s="92"/>
    </row>
    <row r="96" customFormat="false" ht="15" hidden="false" customHeight="false" outlineLevel="0" collapsed="false">
      <c r="H96" s="92"/>
    </row>
    <row r="97" customFormat="false" ht="15" hidden="false" customHeight="false" outlineLevel="0" collapsed="false">
      <c r="H97" s="92"/>
    </row>
    <row r="98" customFormat="false" ht="15" hidden="false" customHeight="false" outlineLevel="0" collapsed="false">
      <c r="H98" s="92"/>
    </row>
    <row r="99" customFormat="false" ht="15" hidden="false" customHeight="false" outlineLevel="0" collapsed="false">
      <c r="H99" s="92"/>
    </row>
    <row r="100" customFormat="false" ht="15" hidden="false" customHeight="false" outlineLevel="0" collapsed="false">
      <c r="H100" s="92"/>
    </row>
    <row r="101" customFormat="false" ht="15" hidden="false" customHeight="false" outlineLevel="0" collapsed="false">
      <c r="H101" s="92"/>
    </row>
    <row r="102" customFormat="false" ht="15" hidden="false" customHeight="false" outlineLevel="0" collapsed="false">
      <c r="H102" s="92"/>
    </row>
    <row r="103" customFormat="false" ht="15" hidden="false" customHeight="false" outlineLevel="0" collapsed="false">
      <c r="H103" s="92"/>
    </row>
    <row r="104" customFormat="false" ht="15" hidden="false" customHeight="false" outlineLevel="0" collapsed="false">
      <c r="H104" s="92"/>
    </row>
    <row r="105" customFormat="false" ht="15" hidden="false" customHeight="false" outlineLevel="0" collapsed="false">
      <c r="H105" s="92"/>
    </row>
    <row r="106" customFormat="false" ht="15" hidden="false" customHeight="false" outlineLevel="0" collapsed="false">
      <c r="H106" s="92"/>
    </row>
    <row r="107" customFormat="false" ht="15" hidden="false" customHeight="false" outlineLevel="0" collapsed="false">
      <c r="H107" s="92"/>
    </row>
    <row r="108" customFormat="false" ht="15" hidden="false" customHeight="false" outlineLevel="0" collapsed="false">
      <c r="H108" s="92"/>
    </row>
    <row r="109" customFormat="false" ht="15" hidden="false" customHeight="false" outlineLevel="0" collapsed="false">
      <c r="H109" s="92"/>
    </row>
    <row r="110" customFormat="false" ht="15" hidden="false" customHeight="false" outlineLevel="0" collapsed="false">
      <c r="H110" s="92"/>
    </row>
    <row r="111" customFormat="false" ht="15" hidden="false" customHeight="false" outlineLevel="0" collapsed="false">
      <c r="H111" s="92"/>
    </row>
    <row r="112" customFormat="false" ht="15" hidden="false" customHeight="false" outlineLevel="0" collapsed="false">
      <c r="H112" s="92"/>
    </row>
    <row r="113" customFormat="false" ht="15" hidden="false" customHeight="false" outlineLevel="0" collapsed="false">
      <c r="H113" s="92"/>
    </row>
    <row r="114" customFormat="false" ht="15" hidden="false" customHeight="false" outlineLevel="0" collapsed="false">
      <c r="H114" s="92"/>
    </row>
    <row r="115" customFormat="false" ht="15" hidden="false" customHeight="false" outlineLevel="0" collapsed="false">
      <c r="H115" s="92"/>
    </row>
    <row r="116" customFormat="false" ht="15" hidden="false" customHeight="false" outlineLevel="0" collapsed="false">
      <c r="H116" s="92"/>
    </row>
    <row r="117" customFormat="false" ht="15" hidden="false" customHeight="false" outlineLevel="0" collapsed="false">
      <c r="H117" s="92"/>
    </row>
    <row r="118" customFormat="false" ht="15" hidden="false" customHeight="false" outlineLevel="0" collapsed="false">
      <c r="H118" s="92"/>
    </row>
    <row r="119" customFormat="false" ht="15" hidden="false" customHeight="false" outlineLevel="0" collapsed="false">
      <c r="H119" s="92"/>
    </row>
    <row r="120" customFormat="false" ht="15" hidden="false" customHeight="false" outlineLevel="0" collapsed="false">
      <c r="H120" s="92"/>
    </row>
    <row r="121" customFormat="false" ht="15" hidden="false" customHeight="false" outlineLevel="0" collapsed="false">
      <c r="H121" s="92"/>
    </row>
    <row r="122" customFormat="false" ht="15" hidden="false" customHeight="false" outlineLevel="0" collapsed="false">
      <c r="H122" s="92"/>
    </row>
    <row r="123" customFormat="false" ht="15" hidden="false" customHeight="false" outlineLevel="0" collapsed="false">
      <c r="H123" s="92"/>
    </row>
    <row r="124" customFormat="false" ht="15" hidden="false" customHeight="false" outlineLevel="0" collapsed="false">
      <c r="H124" s="92"/>
    </row>
    <row r="125" customFormat="false" ht="15" hidden="false" customHeight="false" outlineLevel="0" collapsed="false">
      <c r="H125" s="92"/>
    </row>
    <row r="126" customFormat="false" ht="15" hidden="false" customHeight="false" outlineLevel="0" collapsed="false">
      <c r="H126" s="92"/>
    </row>
    <row r="127" customFormat="false" ht="15" hidden="false" customHeight="false" outlineLevel="0" collapsed="false">
      <c r="H127" s="92"/>
    </row>
    <row r="128" customFormat="false" ht="15" hidden="false" customHeight="false" outlineLevel="0" collapsed="false">
      <c r="H128" s="92"/>
    </row>
    <row r="129" customFormat="false" ht="15" hidden="false" customHeight="false" outlineLevel="0" collapsed="false">
      <c r="H129" s="92"/>
    </row>
    <row r="130" customFormat="false" ht="15" hidden="false" customHeight="false" outlineLevel="0" collapsed="false">
      <c r="H130" s="92"/>
    </row>
    <row r="131" customFormat="false" ht="15" hidden="false" customHeight="false" outlineLevel="0" collapsed="false">
      <c r="H131" s="92"/>
    </row>
    <row r="132" customFormat="false" ht="15" hidden="false" customHeight="false" outlineLevel="0" collapsed="false">
      <c r="H132" s="92"/>
    </row>
    <row r="133" customFormat="false" ht="15" hidden="false" customHeight="false" outlineLevel="0" collapsed="false">
      <c r="H133" s="92"/>
    </row>
    <row r="134" customFormat="false" ht="15" hidden="false" customHeight="false" outlineLevel="0" collapsed="false">
      <c r="H134" s="92"/>
    </row>
    <row r="135" customFormat="false" ht="15" hidden="false" customHeight="false" outlineLevel="0" collapsed="false">
      <c r="H135" s="92"/>
    </row>
    <row r="136" customFormat="false" ht="15" hidden="false" customHeight="false" outlineLevel="0" collapsed="false">
      <c r="H136" s="92"/>
    </row>
    <row r="137" customFormat="false" ht="15" hidden="false" customHeight="false" outlineLevel="0" collapsed="false">
      <c r="H137" s="92"/>
    </row>
    <row r="138" customFormat="false" ht="15" hidden="false" customHeight="false" outlineLevel="0" collapsed="false">
      <c r="H138" s="92"/>
    </row>
    <row r="139" customFormat="false" ht="15" hidden="false" customHeight="false" outlineLevel="0" collapsed="false">
      <c r="H139" s="92"/>
    </row>
    <row r="140" customFormat="false" ht="15" hidden="false" customHeight="false" outlineLevel="0" collapsed="false">
      <c r="H140" s="92"/>
    </row>
    <row r="141" customFormat="false" ht="15" hidden="false" customHeight="false" outlineLevel="0" collapsed="false">
      <c r="H141" s="92"/>
    </row>
    <row r="142" customFormat="false" ht="15" hidden="false" customHeight="false" outlineLevel="0" collapsed="false">
      <c r="H142" s="92"/>
    </row>
    <row r="143" customFormat="false" ht="15" hidden="false" customHeight="false" outlineLevel="0" collapsed="false">
      <c r="H143" s="92"/>
    </row>
    <row r="144" customFormat="false" ht="15" hidden="false" customHeight="false" outlineLevel="0" collapsed="false">
      <c r="H144" s="92"/>
    </row>
    <row r="145" customFormat="false" ht="15" hidden="false" customHeight="false" outlineLevel="0" collapsed="false">
      <c r="H145" s="92"/>
    </row>
    <row r="146" customFormat="false" ht="15" hidden="false" customHeight="false" outlineLevel="0" collapsed="false">
      <c r="H146" s="92"/>
    </row>
    <row r="147" customFormat="false" ht="15" hidden="false" customHeight="false" outlineLevel="0" collapsed="false">
      <c r="H147" s="92"/>
    </row>
    <row r="148" customFormat="false" ht="15" hidden="false" customHeight="false" outlineLevel="0" collapsed="false">
      <c r="H148" s="92"/>
    </row>
    <row r="149" customFormat="false" ht="15" hidden="false" customHeight="false" outlineLevel="0" collapsed="false">
      <c r="H149" s="92"/>
    </row>
    <row r="150" customFormat="false" ht="15" hidden="false" customHeight="false" outlineLevel="0" collapsed="false">
      <c r="H150" s="92"/>
    </row>
    <row r="151" customFormat="false" ht="15" hidden="false" customHeight="false" outlineLevel="0" collapsed="false">
      <c r="H151" s="92"/>
    </row>
    <row r="152" customFormat="false" ht="15" hidden="false" customHeight="false" outlineLevel="0" collapsed="false">
      <c r="H152" s="92"/>
    </row>
    <row r="153" customFormat="false" ht="15" hidden="false" customHeight="false" outlineLevel="0" collapsed="false">
      <c r="H153" s="92"/>
    </row>
    <row r="154" customFormat="false" ht="15" hidden="false" customHeight="false" outlineLevel="0" collapsed="false">
      <c r="H154" s="92"/>
    </row>
    <row r="155" customFormat="false" ht="15" hidden="false" customHeight="false" outlineLevel="0" collapsed="false">
      <c r="H155" s="92"/>
    </row>
    <row r="156" customFormat="false" ht="15" hidden="false" customHeight="false" outlineLevel="0" collapsed="false">
      <c r="H156" s="92"/>
    </row>
    <row r="157" customFormat="false" ht="15" hidden="false" customHeight="false" outlineLevel="0" collapsed="false">
      <c r="H157" s="92"/>
    </row>
    <row r="158" customFormat="false" ht="15" hidden="false" customHeight="false" outlineLevel="0" collapsed="false">
      <c r="H158" s="92"/>
    </row>
    <row r="159" customFormat="false" ht="15" hidden="false" customHeight="false" outlineLevel="0" collapsed="false">
      <c r="H159" s="92"/>
    </row>
    <row r="160" customFormat="false" ht="15" hidden="false" customHeight="false" outlineLevel="0" collapsed="false">
      <c r="H160" s="92"/>
    </row>
    <row r="161" customFormat="false" ht="15" hidden="false" customHeight="false" outlineLevel="0" collapsed="false">
      <c r="H161" s="92"/>
    </row>
    <row r="162" customFormat="false" ht="15" hidden="false" customHeight="false" outlineLevel="0" collapsed="false">
      <c r="H162" s="92"/>
    </row>
    <row r="163" customFormat="false" ht="15" hidden="false" customHeight="false" outlineLevel="0" collapsed="false">
      <c r="H163" s="92"/>
    </row>
    <row r="164" customFormat="false" ht="15" hidden="false" customHeight="false" outlineLevel="0" collapsed="false">
      <c r="H164" s="92"/>
    </row>
    <row r="165" customFormat="false" ht="15" hidden="false" customHeight="false" outlineLevel="0" collapsed="false">
      <c r="H165" s="92"/>
    </row>
    <row r="166" customFormat="false" ht="15" hidden="false" customHeight="false" outlineLevel="0" collapsed="false">
      <c r="H166" s="92"/>
    </row>
    <row r="167" customFormat="false" ht="15" hidden="false" customHeight="false" outlineLevel="0" collapsed="false">
      <c r="H167" s="92"/>
    </row>
    <row r="168" customFormat="false" ht="15" hidden="false" customHeight="false" outlineLevel="0" collapsed="false">
      <c r="H168" s="92"/>
    </row>
    <row r="169" customFormat="false" ht="15" hidden="false" customHeight="false" outlineLevel="0" collapsed="false">
      <c r="H169" s="92"/>
    </row>
    <row r="170" customFormat="false" ht="15" hidden="false" customHeight="false" outlineLevel="0" collapsed="false">
      <c r="H170" s="92"/>
    </row>
    <row r="171" customFormat="false" ht="15" hidden="false" customHeight="false" outlineLevel="0" collapsed="false">
      <c r="H171" s="92"/>
    </row>
    <row r="172" customFormat="false" ht="15" hidden="false" customHeight="false" outlineLevel="0" collapsed="false">
      <c r="H172" s="92"/>
    </row>
    <row r="173" customFormat="false" ht="15" hidden="false" customHeight="false" outlineLevel="0" collapsed="false">
      <c r="H173" s="92"/>
    </row>
    <row r="174" customFormat="false" ht="15" hidden="false" customHeight="false" outlineLevel="0" collapsed="false">
      <c r="H174" s="92"/>
    </row>
    <row r="175" customFormat="false" ht="15" hidden="false" customHeight="false" outlineLevel="0" collapsed="false">
      <c r="H175" s="92"/>
    </row>
    <row r="176" customFormat="false" ht="15" hidden="false" customHeight="false" outlineLevel="0" collapsed="false">
      <c r="H176" s="92"/>
    </row>
    <row r="177" customFormat="false" ht="15" hidden="false" customHeight="false" outlineLevel="0" collapsed="false">
      <c r="H177" s="92"/>
    </row>
    <row r="178" customFormat="false" ht="15" hidden="false" customHeight="false" outlineLevel="0" collapsed="false">
      <c r="H178" s="92"/>
    </row>
    <row r="179" customFormat="false" ht="15" hidden="false" customHeight="false" outlineLevel="0" collapsed="false">
      <c r="H179" s="92"/>
    </row>
    <row r="180" customFormat="false" ht="15" hidden="false" customHeight="false" outlineLevel="0" collapsed="false">
      <c r="H180" s="92"/>
    </row>
    <row r="181" customFormat="false" ht="15" hidden="false" customHeight="false" outlineLevel="0" collapsed="false">
      <c r="H181" s="92"/>
    </row>
    <row r="182" customFormat="false" ht="15" hidden="false" customHeight="false" outlineLevel="0" collapsed="false">
      <c r="H182" s="92"/>
    </row>
    <row r="183" customFormat="false" ht="15" hidden="false" customHeight="false" outlineLevel="0" collapsed="false">
      <c r="H183" s="92"/>
    </row>
    <row r="184" customFormat="false" ht="15" hidden="false" customHeight="false" outlineLevel="0" collapsed="false">
      <c r="H184" s="92"/>
    </row>
    <row r="185" customFormat="false" ht="15" hidden="false" customHeight="false" outlineLevel="0" collapsed="false">
      <c r="H185" s="92"/>
    </row>
    <row r="186" customFormat="false" ht="15" hidden="false" customHeight="false" outlineLevel="0" collapsed="false">
      <c r="H186" s="92"/>
    </row>
    <row r="187" customFormat="false" ht="15" hidden="false" customHeight="false" outlineLevel="0" collapsed="false">
      <c r="H187" s="92"/>
    </row>
    <row r="188" customFormat="false" ht="15" hidden="false" customHeight="false" outlineLevel="0" collapsed="false">
      <c r="H188" s="92"/>
    </row>
    <row r="189" customFormat="false" ht="15" hidden="false" customHeight="false" outlineLevel="0" collapsed="false">
      <c r="H189" s="92"/>
    </row>
    <row r="190" customFormat="false" ht="15" hidden="false" customHeight="false" outlineLevel="0" collapsed="false">
      <c r="H190" s="92"/>
    </row>
    <row r="191" customFormat="false" ht="15" hidden="false" customHeight="false" outlineLevel="0" collapsed="false">
      <c r="H191" s="92"/>
    </row>
    <row r="192" customFormat="false" ht="15" hidden="false" customHeight="false" outlineLevel="0" collapsed="false">
      <c r="H192" s="92"/>
    </row>
    <row r="193" customFormat="false" ht="15" hidden="false" customHeight="false" outlineLevel="0" collapsed="false">
      <c r="H193" s="92"/>
    </row>
    <row r="194" customFormat="false" ht="15" hidden="false" customHeight="false" outlineLevel="0" collapsed="false">
      <c r="H194" s="92"/>
    </row>
    <row r="195" customFormat="false" ht="15" hidden="false" customHeight="false" outlineLevel="0" collapsed="false">
      <c r="H195" s="92"/>
    </row>
    <row r="196" customFormat="false" ht="15" hidden="false" customHeight="false" outlineLevel="0" collapsed="false">
      <c r="H196" s="92"/>
    </row>
    <row r="197" customFormat="false" ht="15" hidden="false" customHeight="false" outlineLevel="0" collapsed="false">
      <c r="H197" s="92"/>
    </row>
    <row r="198" customFormat="false" ht="15" hidden="false" customHeight="false" outlineLevel="0" collapsed="false">
      <c r="H198" s="92"/>
    </row>
    <row r="199" customFormat="false" ht="15" hidden="false" customHeight="false" outlineLevel="0" collapsed="false">
      <c r="H199" s="92"/>
    </row>
    <row r="200" customFormat="false" ht="15" hidden="false" customHeight="false" outlineLevel="0" collapsed="false">
      <c r="H200" s="92"/>
    </row>
    <row r="201" customFormat="false" ht="15" hidden="false" customHeight="false" outlineLevel="0" collapsed="false">
      <c r="H201" s="92"/>
    </row>
    <row r="202" customFormat="false" ht="15" hidden="false" customHeight="false" outlineLevel="0" collapsed="false">
      <c r="H202" s="92"/>
    </row>
    <row r="203" customFormat="false" ht="15" hidden="false" customHeight="false" outlineLevel="0" collapsed="false">
      <c r="H203" s="92"/>
    </row>
    <row r="204" customFormat="false" ht="15" hidden="false" customHeight="false" outlineLevel="0" collapsed="false">
      <c r="H204" s="92"/>
    </row>
    <row r="205" customFormat="false" ht="15" hidden="false" customHeight="false" outlineLevel="0" collapsed="false">
      <c r="H205" s="92"/>
    </row>
    <row r="206" customFormat="false" ht="15" hidden="false" customHeight="false" outlineLevel="0" collapsed="false">
      <c r="H206" s="92"/>
    </row>
    <row r="207" customFormat="false" ht="15" hidden="false" customHeight="false" outlineLevel="0" collapsed="false">
      <c r="H207" s="92"/>
    </row>
    <row r="208" customFormat="false" ht="15" hidden="false" customHeight="false" outlineLevel="0" collapsed="false">
      <c r="H208" s="92"/>
    </row>
    <row r="209" customFormat="false" ht="15" hidden="false" customHeight="false" outlineLevel="0" collapsed="false">
      <c r="H209" s="92"/>
    </row>
    <row r="210" customFormat="false" ht="15" hidden="false" customHeight="false" outlineLevel="0" collapsed="false">
      <c r="H210" s="92"/>
    </row>
    <row r="211" customFormat="false" ht="15" hidden="false" customHeight="false" outlineLevel="0" collapsed="false">
      <c r="H211" s="92"/>
    </row>
    <row r="212" customFormat="false" ht="15" hidden="false" customHeight="false" outlineLevel="0" collapsed="false">
      <c r="H212" s="92"/>
    </row>
    <row r="213" customFormat="false" ht="15" hidden="false" customHeight="false" outlineLevel="0" collapsed="false">
      <c r="H213" s="92"/>
    </row>
    <row r="214" customFormat="false" ht="15" hidden="false" customHeight="false" outlineLevel="0" collapsed="false">
      <c r="H214" s="92"/>
    </row>
    <row r="215" customFormat="false" ht="15" hidden="false" customHeight="false" outlineLevel="0" collapsed="false">
      <c r="H215" s="92"/>
    </row>
    <row r="216" customFormat="false" ht="15" hidden="false" customHeight="false" outlineLevel="0" collapsed="false">
      <c r="H216" s="92"/>
    </row>
    <row r="217" customFormat="false" ht="15" hidden="false" customHeight="false" outlineLevel="0" collapsed="false">
      <c r="H217" s="92"/>
    </row>
    <row r="218" customFormat="false" ht="15" hidden="false" customHeight="false" outlineLevel="0" collapsed="false">
      <c r="H218" s="92"/>
    </row>
    <row r="219" customFormat="false" ht="15" hidden="false" customHeight="false" outlineLevel="0" collapsed="false">
      <c r="H219" s="92"/>
    </row>
    <row r="220" customFormat="false" ht="15" hidden="false" customHeight="false" outlineLevel="0" collapsed="false">
      <c r="H220" s="92"/>
    </row>
    <row r="221" customFormat="false" ht="15" hidden="false" customHeight="false" outlineLevel="0" collapsed="false">
      <c r="H221" s="92"/>
    </row>
    <row r="222" customFormat="false" ht="15" hidden="false" customHeight="false" outlineLevel="0" collapsed="false">
      <c r="H222" s="92"/>
    </row>
    <row r="223" customFormat="false" ht="15" hidden="false" customHeight="false" outlineLevel="0" collapsed="false">
      <c r="H223" s="92"/>
    </row>
    <row r="224" customFormat="false" ht="15" hidden="false" customHeight="false" outlineLevel="0" collapsed="false">
      <c r="H224" s="92"/>
    </row>
    <row r="225" customFormat="false" ht="15" hidden="false" customHeight="false" outlineLevel="0" collapsed="false">
      <c r="H225" s="92"/>
    </row>
    <row r="226" customFormat="false" ht="15" hidden="false" customHeight="false" outlineLevel="0" collapsed="false">
      <c r="H226" s="92"/>
    </row>
    <row r="227" customFormat="false" ht="15" hidden="false" customHeight="false" outlineLevel="0" collapsed="false">
      <c r="H227" s="92"/>
    </row>
    <row r="228" customFormat="false" ht="15" hidden="false" customHeight="false" outlineLevel="0" collapsed="false">
      <c r="H228" s="92"/>
    </row>
    <row r="229" customFormat="false" ht="15" hidden="false" customHeight="false" outlineLevel="0" collapsed="false">
      <c r="H229" s="92"/>
    </row>
    <row r="230" customFormat="false" ht="15" hidden="false" customHeight="false" outlineLevel="0" collapsed="false">
      <c r="H230" s="92"/>
    </row>
    <row r="231" customFormat="false" ht="15" hidden="false" customHeight="false" outlineLevel="0" collapsed="false">
      <c r="H231" s="92"/>
    </row>
    <row r="232" customFormat="false" ht="15" hidden="false" customHeight="false" outlineLevel="0" collapsed="false">
      <c r="H232" s="92"/>
    </row>
    <row r="233" customFormat="false" ht="15" hidden="false" customHeight="false" outlineLevel="0" collapsed="false">
      <c r="H233" s="92"/>
    </row>
    <row r="234" customFormat="false" ht="15" hidden="false" customHeight="false" outlineLevel="0" collapsed="false">
      <c r="H234" s="92"/>
    </row>
    <row r="235" customFormat="false" ht="15" hidden="false" customHeight="false" outlineLevel="0" collapsed="false">
      <c r="H235" s="92"/>
    </row>
    <row r="236" customFormat="false" ht="15" hidden="false" customHeight="false" outlineLevel="0" collapsed="false">
      <c r="H236" s="92"/>
    </row>
    <row r="237" customFormat="false" ht="15" hidden="false" customHeight="false" outlineLevel="0" collapsed="false">
      <c r="H237" s="92"/>
    </row>
    <row r="238" customFormat="false" ht="15" hidden="false" customHeight="false" outlineLevel="0" collapsed="false">
      <c r="H238" s="92"/>
    </row>
    <row r="239" customFormat="false" ht="15" hidden="false" customHeight="false" outlineLevel="0" collapsed="false">
      <c r="H239" s="92"/>
    </row>
    <row r="240" customFormat="false" ht="15" hidden="false" customHeight="false" outlineLevel="0" collapsed="false">
      <c r="H240" s="92"/>
    </row>
    <row r="241" customFormat="false" ht="15" hidden="false" customHeight="false" outlineLevel="0" collapsed="false">
      <c r="H241" s="92"/>
    </row>
    <row r="242" customFormat="false" ht="15" hidden="false" customHeight="false" outlineLevel="0" collapsed="false">
      <c r="H242" s="92"/>
    </row>
    <row r="243" customFormat="false" ht="15" hidden="false" customHeight="false" outlineLevel="0" collapsed="false">
      <c r="H243" s="92"/>
    </row>
    <row r="244" customFormat="false" ht="15" hidden="false" customHeight="false" outlineLevel="0" collapsed="false">
      <c r="H244" s="92"/>
    </row>
    <row r="245" customFormat="false" ht="15" hidden="false" customHeight="false" outlineLevel="0" collapsed="false">
      <c r="H245" s="92"/>
    </row>
    <row r="246" customFormat="false" ht="15" hidden="false" customHeight="false" outlineLevel="0" collapsed="false">
      <c r="H246" s="92"/>
    </row>
    <row r="247" customFormat="false" ht="15" hidden="false" customHeight="false" outlineLevel="0" collapsed="false">
      <c r="H247" s="92"/>
    </row>
    <row r="248" customFormat="false" ht="15" hidden="false" customHeight="false" outlineLevel="0" collapsed="false">
      <c r="H248" s="92"/>
    </row>
    <row r="249" customFormat="false" ht="15" hidden="false" customHeight="false" outlineLevel="0" collapsed="false">
      <c r="H249" s="92"/>
    </row>
    <row r="250" customFormat="false" ht="15" hidden="false" customHeight="false" outlineLevel="0" collapsed="false">
      <c r="H250" s="92"/>
    </row>
    <row r="251" customFormat="false" ht="15" hidden="false" customHeight="false" outlineLevel="0" collapsed="false">
      <c r="H251" s="92"/>
    </row>
    <row r="252" customFormat="false" ht="15" hidden="false" customHeight="false" outlineLevel="0" collapsed="false">
      <c r="H252" s="92"/>
    </row>
    <row r="253" customFormat="false" ht="15" hidden="false" customHeight="false" outlineLevel="0" collapsed="false">
      <c r="H253" s="92"/>
    </row>
    <row r="254" customFormat="false" ht="15" hidden="false" customHeight="false" outlineLevel="0" collapsed="false">
      <c r="H254" s="92"/>
    </row>
    <row r="255" customFormat="false" ht="15" hidden="false" customHeight="false" outlineLevel="0" collapsed="false">
      <c r="H255" s="92"/>
    </row>
    <row r="256" customFormat="false" ht="15" hidden="false" customHeight="false" outlineLevel="0" collapsed="false">
      <c r="H256" s="92"/>
    </row>
    <row r="257" customFormat="false" ht="15" hidden="false" customHeight="false" outlineLevel="0" collapsed="false">
      <c r="H257" s="92"/>
    </row>
    <row r="258" customFormat="false" ht="15" hidden="false" customHeight="false" outlineLevel="0" collapsed="false">
      <c r="H258" s="92"/>
    </row>
    <row r="259" customFormat="false" ht="15" hidden="false" customHeight="false" outlineLevel="0" collapsed="false">
      <c r="H259" s="92"/>
    </row>
    <row r="260" customFormat="false" ht="15" hidden="false" customHeight="false" outlineLevel="0" collapsed="false">
      <c r="H260" s="92"/>
    </row>
    <row r="261" customFormat="false" ht="15" hidden="false" customHeight="false" outlineLevel="0" collapsed="false">
      <c r="H261" s="92"/>
    </row>
    <row r="262" customFormat="false" ht="15" hidden="false" customHeight="false" outlineLevel="0" collapsed="false">
      <c r="H262" s="92"/>
    </row>
    <row r="263" customFormat="false" ht="15" hidden="false" customHeight="false" outlineLevel="0" collapsed="false">
      <c r="H263" s="92"/>
    </row>
    <row r="264" customFormat="false" ht="15" hidden="false" customHeight="false" outlineLevel="0" collapsed="false">
      <c r="H264" s="92"/>
    </row>
    <row r="265" customFormat="false" ht="15" hidden="false" customHeight="false" outlineLevel="0" collapsed="false">
      <c r="H265" s="92"/>
    </row>
    <row r="266" customFormat="false" ht="15" hidden="false" customHeight="false" outlineLevel="0" collapsed="false">
      <c r="H266" s="92"/>
    </row>
    <row r="267" customFormat="false" ht="15" hidden="false" customHeight="false" outlineLevel="0" collapsed="false">
      <c r="H267" s="92"/>
    </row>
    <row r="268" customFormat="false" ht="15" hidden="false" customHeight="false" outlineLevel="0" collapsed="false">
      <c r="H268" s="92"/>
    </row>
    <row r="269" customFormat="false" ht="15" hidden="false" customHeight="false" outlineLevel="0" collapsed="false">
      <c r="H269" s="92"/>
    </row>
    <row r="270" customFormat="false" ht="15" hidden="false" customHeight="false" outlineLevel="0" collapsed="false">
      <c r="H270" s="92"/>
    </row>
    <row r="271" customFormat="false" ht="15" hidden="false" customHeight="false" outlineLevel="0" collapsed="false">
      <c r="H271" s="92"/>
    </row>
    <row r="272" customFormat="false" ht="15" hidden="false" customHeight="false" outlineLevel="0" collapsed="false">
      <c r="H272" s="92"/>
    </row>
    <row r="273" customFormat="false" ht="15" hidden="false" customHeight="false" outlineLevel="0" collapsed="false">
      <c r="H273" s="92"/>
    </row>
    <row r="274" customFormat="false" ht="15" hidden="false" customHeight="false" outlineLevel="0" collapsed="false">
      <c r="H274" s="92"/>
    </row>
    <row r="275" customFormat="false" ht="15" hidden="false" customHeight="false" outlineLevel="0" collapsed="false">
      <c r="H275" s="92"/>
    </row>
    <row r="276" customFormat="false" ht="15" hidden="false" customHeight="false" outlineLevel="0" collapsed="false">
      <c r="H276" s="92"/>
    </row>
    <row r="277" customFormat="false" ht="15" hidden="false" customHeight="false" outlineLevel="0" collapsed="false">
      <c r="H277" s="92"/>
    </row>
    <row r="278" customFormat="false" ht="15" hidden="false" customHeight="false" outlineLevel="0" collapsed="false">
      <c r="H278" s="92"/>
    </row>
    <row r="279" customFormat="false" ht="15" hidden="false" customHeight="false" outlineLevel="0" collapsed="false">
      <c r="H279" s="92"/>
    </row>
    <row r="280" customFormat="false" ht="15" hidden="false" customHeight="false" outlineLevel="0" collapsed="false">
      <c r="H280" s="92"/>
    </row>
    <row r="281" customFormat="false" ht="15" hidden="false" customHeight="false" outlineLevel="0" collapsed="false">
      <c r="H281" s="92"/>
    </row>
    <row r="282" customFormat="false" ht="15" hidden="false" customHeight="false" outlineLevel="0" collapsed="false">
      <c r="H282" s="92"/>
    </row>
    <row r="283" customFormat="false" ht="15" hidden="false" customHeight="false" outlineLevel="0" collapsed="false">
      <c r="H283" s="92"/>
    </row>
    <row r="284" customFormat="false" ht="15" hidden="false" customHeight="false" outlineLevel="0" collapsed="false">
      <c r="H284" s="92"/>
    </row>
    <row r="285" customFormat="false" ht="15" hidden="false" customHeight="false" outlineLevel="0" collapsed="false">
      <c r="H285" s="92"/>
    </row>
    <row r="286" customFormat="false" ht="15" hidden="false" customHeight="false" outlineLevel="0" collapsed="false">
      <c r="H286" s="92"/>
    </row>
    <row r="287" customFormat="false" ht="15" hidden="false" customHeight="false" outlineLevel="0" collapsed="false">
      <c r="H287" s="92"/>
    </row>
    <row r="288" customFormat="false" ht="15" hidden="false" customHeight="false" outlineLevel="0" collapsed="false">
      <c r="H288" s="92"/>
    </row>
    <row r="289" customFormat="false" ht="15" hidden="false" customHeight="false" outlineLevel="0" collapsed="false">
      <c r="H289" s="92"/>
    </row>
    <row r="290" customFormat="false" ht="15" hidden="false" customHeight="false" outlineLevel="0" collapsed="false">
      <c r="H290" s="92"/>
    </row>
    <row r="291" customFormat="false" ht="15" hidden="false" customHeight="false" outlineLevel="0" collapsed="false">
      <c r="H291" s="92"/>
    </row>
    <row r="292" customFormat="false" ht="15" hidden="false" customHeight="false" outlineLevel="0" collapsed="false">
      <c r="H292" s="92"/>
    </row>
    <row r="293" customFormat="false" ht="15" hidden="false" customHeight="false" outlineLevel="0" collapsed="false">
      <c r="H293" s="92"/>
    </row>
    <row r="294" customFormat="false" ht="15" hidden="false" customHeight="false" outlineLevel="0" collapsed="false">
      <c r="H294" s="92"/>
    </row>
    <row r="295" customFormat="false" ht="15" hidden="false" customHeight="false" outlineLevel="0" collapsed="false">
      <c r="H295" s="92"/>
    </row>
    <row r="296" customFormat="false" ht="15" hidden="false" customHeight="false" outlineLevel="0" collapsed="false">
      <c r="H296" s="92"/>
    </row>
    <row r="297" customFormat="false" ht="15" hidden="false" customHeight="false" outlineLevel="0" collapsed="false">
      <c r="H297" s="92"/>
    </row>
    <row r="298" customFormat="false" ht="15" hidden="false" customHeight="false" outlineLevel="0" collapsed="false">
      <c r="H298" s="92"/>
    </row>
    <row r="299" customFormat="false" ht="15" hidden="false" customHeight="false" outlineLevel="0" collapsed="false">
      <c r="H299" s="92"/>
    </row>
    <row r="300" customFormat="false" ht="15" hidden="false" customHeight="false" outlineLevel="0" collapsed="false">
      <c r="H300" s="92"/>
    </row>
    <row r="301" customFormat="false" ht="15" hidden="false" customHeight="false" outlineLevel="0" collapsed="false">
      <c r="H301" s="92"/>
    </row>
    <row r="302" customFormat="false" ht="15" hidden="false" customHeight="false" outlineLevel="0" collapsed="false">
      <c r="H302" s="92"/>
    </row>
    <row r="303" customFormat="false" ht="15" hidden="false" customHeight="false" outlineLevel="0" collapsed="false">
      <c r="H303" s="92"/>
    </row>
    <row r="304" customFormat="false" ht="15" hidden="false" customHeight="false" outlineLevel="0" collapsed="false">
      <c r="H304" s="92"/>
    </row>
    <row r="305" customFormat="false" ht="15" hidden="false" customHeight="false" outlineLevel="0" collapsed="false">
      <c r="H305" s="92"/>
    </row>
    <row r="306" customFormat="false" ht="15" hidden="false" customHeight="false" outlineLevel="0" collapsed="false">
      <c r="H306" s="92"/>
    </row>
    <row r="307" customFormat="false" ht="15" hidden="false" customHeight="false" outlineLevel="0" collapsed="false">
      <c r="H307" s="92"/>
    </row>
    <row r="308" customFormat="false" ht="15" hidden="false" customHeight="false" outlineLevel="0" collapsed="false">
      <c r="H308" s="92"/>
    </row>
    <row r="309" customFormat="false" ht="15" hidden="false" customHeight="false" outlineLevel="0" collapsed="false">
      <c r="H309" s="92"/>
    </row>
    <row r="310" customFormat="false" ht="15" hidden="false" customHeight="false" outlineLevel="0" collapsed="false">
      <c r="H310" s="92"/>
    </row>
    <row r="311" customFormat="false" ht="15" hidden="false" customHeight="false" outlineLevel="0" collapsed="false">
      <c r="H311" s="92"/>
    </row>
    <row r="312" customFormat="false" ht="15" hidden="false" customHeight="false" outlineLevel="0" collapsed="false">
      <c r="H312" s="92"/>
    </row>
    <row r="313" customFormat="false" ht="15" hidden="false" customHeight="false" outlineLevel="0" collapsed="false">
      <c r="H313" s="92"/>
    </row>
    <row r="314" customFormat="false" ht="15" hidden="false" customHeight="false" outlineLevel="0" collapsed="false">
      <c r="H314" s="92"/>
    </row>
    <row r="315" customFormat="false" ht="15" hidden="false" customHeight="false" outlineLevel="0" collapsed="false">
      <c r="H315" s="92"/>
    </row>
    <row r="316" customFormat="false" ht="15" hidden="false" customHeight="false" outlineLevel="0" collapsed="false">
      <c r="H316" s="92"/>
    </row>
    <row r="317" customFormat="false" ht="15" hidden="false" customHeight="false" outlineLevel="0" collapsed="false">
      <c r="H317" s="92"/>
    </row>
    <row r="318" customFormat="false" ht="15" hidden="false" customHeight="false" outlineLevel="0" collapsed="false">
      <c r="H318" s="92"/>
    </row>
    <row r="319" customFormat="false" ht="15" hidden="false" customHeight="false" outlineLevel="0" collapsed="false">
      <c r="H319" s="92"/>
    </row>
    <row r="320" customFormat="false" ht="15" hidden="false" customHeight="false" outlineLevel="0" collapsed="false">
      <c r="H320" s="92"/>
    </row>
    <row r="321" customFormat="false" ht="15" hidden="false" customHeight="false" outlineLevel="0" collapsed="false">
      <c r="H321" s="92"/>
    </row>
    <row r="322" customFormat="false" ht="15" hidden="false" customHeight="false" outlineLevel="0" collapsed="false">
      <c r="H322" s="92"/>
    </row>
    <row r="323" customFormat="false" ht="15" hidden="false" customHeight="false" outlineLevel="0" collapsed="false">
      <c r="H323" s="92"/>
    </row>
    <row r="324" customFormat="false" ht="15" hidden="false" customHeight="false" outlineLevel="0" collapsed="false">
      <c r="H324" s="92"/>
    </row>
    <row r="325" customFormat="false" ht="15" hidden="false" customHeight="false" outlineLevel="0" collapsed="false">
      <c r="H325" s="92"/>
    </row>
    <row r="326" customFormat="false" ht="15" hidden="false" customHeight="false" outlineLevel="0" collapsed="false">
      <c r="H326" s="92"/>
    </row>
    <row r="327" customFormat="false" ht="15" hidden="false" customHeight="false" outlineLevel="0" collapsed="false">
      <c r="H327" s="92"/>
    </row>
    <row r="328" customFormat="false" ht="15" hidden="false" customHeight="false" outlineLevel="0" collapsed="false">
      <c r="H328" s="92"/>
    </row>
    <row r="329" customFormat="false" ht="15" hidden="false" customHeight="false" outlineLevel="0" collapsed="false">
      <c r="H329" s="92"/>
    </row>
    <row r="330" customFormat="false" ht="15" hidden="false" customHeight="false" outlineLevel="0" collapsed="false">
      <c r="H330" s="92"/>
    </row>
    <row r="331" customFormat="false" ht="15" hidden="false" customHeight="false" outlineLevel="0" collapsed="false">
      <c r="H331" s="92"/>
    </row>
    <row r="332" customFormat="false" ht="15" hidden="false" customHeight="false" outlineLevel="0" collapsed="false">
      <c r="H332" s="92"/>
    </row>
    <row r="333" customFormat="false" ht="15" hidden="false" customHeight="false" outlineLevel="0" collapsed="false">
      <c r="H333" s="92"/>
    </row>
    <row r="334" customFormat="false" ht="15" hidden="false" customHeight="false" outlineLevel="0" collapsed="false">
      <c r="H334" s="92"/>
    </row>
    <row r="335" customFormat="false" ht="15" hidden="false" customHeight="false" outlineLevel="0" collapsed="false">
      <c r="H335" s="92"/>
    </row>
    <row r="336" customFormat="false" ht="15" hidden="false" customHeight="false" outlineLevel="0" collapsed="false">
      <c r="H336" s="92"/>
    </row>
    <row r="337" customFormat="false" ht="15" hidden="false" customHeight="false" outlineLevel="0" collapsed="false">
      <c r="H337" s="92"/>
    </row>
    <row r="338" customFormat="false" ht="15" hidden="false" customHeight="false" outlineLevel="0" collapsed="false">
      <c r="H338" s="92"/>
    </row>
    <row r="339" customFormat="false" ht="15" hidden="false" customHeight="false" outlineLevel="0" collapsed="false">
      <c r="H339" s="92"/>
    </row>
    <row r="340" customFormat="false" ht="15" hidden="false" customHeight="false" outlineLevel="0" collapsed="false">
      <c r="H340" s="92"/>
    </row>
    <row r="341" customFormat="false" ht="15" hidden="false" customHeight="false" outlineLevel="0" collapsed="false">
      <c r="H341" s="92"/>
    </row>
    <row r="342" customFormat="false" ht="15" hidden="false" customHeight="false" outlineLevel="0" collapsed="false">
      <c r="H342" s="92"/>
    </row>
    <row r="343" customFormat="false" ht="15" hidden="false" customHeight="false" outlineLevel="0" collapsed="false">
      <c r="H343" s="92"/>
    </row>
    <row r="344" customFormat="false" ht="15" hidden="false" customHeight="false" outlineLevel="0" collapsed="false">
      <c r="H344" s="92"/>
    </row>
    <row r="345" customFormat="false" ht="15" hidden="false" customHeight="false" outlineLevel="0" collapsed="false">
      <c r="H345" s="92"/>
    </row>
    <row r="346" customFormat="false" ht="15" hidden="false" customHeight="false" outlineLevel="0" collapsed="false">
      <c r="H346" s="92"/>
    </row>
    <row r="347" customFormat="false" ht="15" hidden="false" customHeight="false" outlineLevel="0" collapsed="false">
      <c r="H347" s="92"/>
    </row>
    <row r="348" customFormat="false" ht="15" hidden="false" customHeight="false" outlineLevel="0" collapsed="false">
      <c r="H348" s="92"/>
    </row>
    <row r="349" customFormat="false" ht="15" hidden="false" customHeight="false" outlineLevel="0" collapsed="false">
      <c r="H349" s="92"/>
    </row>
    <row r="350" customFormat="false" ht="15" hidden="false" customHeight="false" outlineLevel="0" collapsed="false">
      <c r="H350" s="92"/>
    </row>
    <row r="351" customFormat="false" ht="15" hidden="false" customHeight="false" outlineLevel="0" collapsed="false">
      <c r="H351" s="92"/>
    </row>
    <row r="352" customFormat="false" ht="15" hidden="false" customHeight="false" outlineLevel="0" collapsed="false">
      <c r="H352" s="92"/>
    </row>
    <row r="353" customFormat="false" ht="15" hidden="false" customHeight="false" outlineLevel="0" collapsed="false">
      <c r="H353" s="92"/>
    </row>
    <row r="354" customFormat="false" ht="15" hidden="false" customHeight="false" outlineLevel="0" collapsed="false">
      <c r="H354" s="92"/>
    </row>
    <row r="355" customFormat="false" ht="15" hidden="false" customHeight="false" outlineLevel="0" collapsed="false">
      <c r="H355" s="92"/>
    </row>
    <row r="356" customFormat="false" ht="15" hidden="false" customHeight="false" outlineLevel="0" collapsed="false">
      <c r="H356" s="92"/>
    </row>
    <row r="357" customFormat="false" ht="15" hidden="false" customHeight="false" outlineLevel="0" collapsed="false">
      <c r="H357" s="92"/>
    </row>
    <row r="358" customFormat="false" ht="15" hidden="false" customHeight="false" outlineLevel="0" collapsed="false">
      <c r="H358" s="92"/>
    </row>
    <row r="359" customFormat="false" ht="15" hidden="false" customHeight="false" outlineLevel="0" collapsed="false">
      <c r="H359" s="92"/>
    </row>
    <row r="360" customFormat="false" ht="15" hidden="false" customHeight="false" outlineLevel="0" collapsed="false">
      <c r="H360" s="92"/>
    </row>
    <row r="361" customFormat="false" ht="15" hidden="false" customHeight="false" outlineLevel="0" collapsed="false">
      <c r="H361" s="92"/>
    </row>
    <row r="362" customFormat="false" ht="15" hidden="false" customHeight="false" outlineLevel="0" collapsed="false">
      <c r="H362" s="92"/>
    </row>
    <row r="363" customFormat="false" ht="15" hidden="false" customHeight="false" outlineLevel="0" collapsed="false">
      <c r="H363" s="92"/>
    </row>
    <row r="364" customFormat="false" ht="15" hidden="false" customHeight="false" outlineLevel="0" collapsed="false">
      <c r="H364" s="92"/>
    </row>
    <row r="365" customFormat="false" ht="15" hidden="false" customHeight="false" outlineLevel="0" collapsed="false">
      <c r="H365" s="92"/>
    </row>
    <row r="366" customFormat="false" ht="15" hidden="false" customHeight="false" outlineLevel="0" collapsed="false">
      <c r="H366" s="92"/>
    </row>
    <row r="367" customFormat="false" ht="15" hidden="false" customHeight="false" outlineLevel="0" collapsed="false">
      <c r="H367" s="92"/>
    </row>
    <row r="368" customFormat="false" ht="15" hidden="false" customHeight="false" outlineLevel="0" collapsed="false">
      <c r="H368" s="92"/>
    </row>
    <row r="369" customFormat="false" ht="15" hidden="false" customHeight="false" outlineLevel="0" collapsed="false">
      <c r="H369" s="92"/>
    </row>
    <row r="370" customFormat="false" ht="15" hidden="false" customHeight="false" outlineLevel="0" collapsed="false">
      <c r="H370" s="92"/>
    </row>
    <row r="371" customFormat="false" ht="15" hidden="false" customHeight="false" outlineLevel="0" collapsed="false">
      <c r="H371" s="92"/>
    </row>
    <row r="372" customFormat="false" ht="15" hidden="false" customHeight="false" outlineLevel="0" collapsed="false">
      <c r="H372" s="92"/>
    </row>
    <row r="373" customFormat="false" ht="15" hidden="false" customHeight="false" outlineLevel="0" collapsed="false">
      <c r="H373" s="92"/>
    </row>
    <row r="374" customFormat="false" ht="15" hidden="false" customHeight="false" outlineLevel="0" collapsed="false">
      <c r="H374" s="92"/>
    </row>
    <row r="375" customFormat="false" ht="15" hidden="false" customHeight="false" outlineLevel="0" collapsed="false">
      <c r="H375" s="92"/>
    </row>
    <row r="376" customFormat="false" ht="15" hidden="false" customHeight="false" outlineLevel="0" collapsed="false">
      <c r="H376" s="92"/>
    </row>
    <row r="377" customFormat="false" ht="15" hidden="false" customHeight="false" outlineLevel="0" collapsed="false">
      <c r="H377" s="92"/>
    </row>
    <row r="378" customFormat="false" ht="15" hidden="false" customHeight="false" outlineLevel="0" collapsed="false">
      <c r="H378" s="92"/>
    </row>
    <row r="379" customFormat="false" ht="15" hidden="false" customHeight="false" outlineLevel="0" collapsed="false">
      <c r="H379" s="92"/>
    </row>
    <row r="380" customFormat="false" ht="15" hidden="false" customHeight="false" outlineLevel="0" collapsed="false">
      <c r="H380" s="92"/>
    </row>
    <row r="381" customFormat="false" ht="15" hidden="false" customHeight="false" outlineLevel="0" collapsed="false">
      <c r="H381" s="92"/>
    </row>
    <row r="382" customFormat="false" ht="15" hidden="false" customHeight="false" outlineLevel="0" collapsed="false">
      <c r="H382" s="92"/>
    </row>
    <row r="383" customFormat="false" ht="15" hidden="false" customHeight="false" outlineLevel="0" collapsed="false">
      <c r="H383" s="92"/>
    </row>
    <row r="384" customFormat="false" ht="15" hidden="false" customHeight="false" outlineLevel="0" collapsed="false">
      <c r="H384" s="92"/>
    </row>
    <row r="385" customFormat="false" ht="15" hidden="false" customHeight="false" outlineLevel="0" collapsed="false">
      <c r="H385" s="92"/>
    </row>
    <row r="386" customFormat="false" ht="15" hidden="false" customHeight="false" outlineLevel="0" collapsed="false">
      <c r="H386" s="92"/>
    </row>
    <row r="387" customFormat="false" ht="15" hidden="false" customHeight="false" outlineLevel="0" collapsed="false">
      <c r="H387" s="92"/>
    </row>
    <row r="388" customFormat="false" ht="15" hidden="false" customHeight="false" outlineLevel="0" collapsed="false">
      <c r="H388" s="92"/>
    </row>
    <row r="389" customFormat="false" ht="15" hidden="false" customHeight="false" outlineLevel="0" collapsed="false">
      <c r="H389" s="92"/>
    </row>
    <row r="390" customFormat="false" ht="15" hidden="false" customHeight="false" outlineLevel="0" collapsed="false">
      <c r="H390" s="92"/>
    </row>
    <row r="391" customFormat="false" ht="15" hidden="false" customHeight="false" outlineLevel="0" collapsed="false">
      <c r="H391" s="92"/>
    </row>
    <row r="392" customFormat="false" ht="15" hidden="false" customHeight="false" outlineLevel="0" collapsed="false">
      <c r="H392" s="92"/>
    </row>
    <row r="393" customFormat="false" ht="15" hidden="false" customHeight="false" outlineLevel="0" collapsed="false">
      <c r="H393" s="92"/>
    </row>
    <row r="394" customFormat="false" ht="15" hidden="false" customHeight="false" outlineLevel="0" collapsed="false">
      <c r="H394" s="92"/>
    </row>
    <row r="395" customFormat="false" ht="15" hidden="false" customHeight="false" outlineLevel="0" collapsed="false">
      <c r="H395" s="92"/>
    </row>
    <row r="396" customFormat="false" ht="15" hidden="false" customHeight="false" outlineLevel="0" collapsed="false">
      <c r="H396" s="92"/>
    </row>
    <row r="397" customFormat="false" ht="15" hidden="false" customHeight="false" outlineLevel="0" collapsed="false">
      <c r="H397" s="92"/>
    </row>
    <row r="398" customFormat="false" ht="15" hidden="false" customHeight="false" outlineLevel="0" collapsed="false">
      <c r="H398" s="92"/>
    </row>
    <row r="399" customFormat="false" ht="15" hidden="false" customHeight="false" outlineLevel="0" collapsed="false">
      <c r="H399" s="92"/>
    </row>
    <row r="400" customFormat="false" ht="15" hidden="false" customHeight="false" outlineLevel="0" collapsed="false">
      <c r="H400" s="92"/>
    </row>
    <row r="401" customFormat="false" ht="15" hidden="false" customHeight="false" outlineLevel="0" collapsed="false">
      <c r="H401" s="92"/>
    </row>
    <row r="402" customFormat="false" ht="15" hidden="false" customHeight="false" outlineLevel="0" collapsed="false">
      <c r="H402" s="92"/>
    </row>
    <row r="403" customFormat="false" ht="15" hidden="false" customHeight="false" outlineLevel="0" collapsed="false">
      <c r="H403" s="92"/>
    </row>
    <row r="404" customFormat="false" ht="15" hidden="false" customHeight="false" outlineLevel="0" collapsed="false">
      <c r="H404" s="92"/>
    </row>
    <row r="405" customFormat="false" ht="15" hidden="false" customHeight="false" outlineLevel="0" collapsed="false">
      <c r="H405" s="92"/>
    </row>
    <row r="406" customFormat="false" ht="15" hidden="false" customHeight="false" outlineLevel="0" collapsed="false">
      <c r="H406" s="92"/>
    </row>
    <row r="407" customFormat="false" ht="15" hidden="false" customHeight="false" outlineLevel="0" collapsed="false">
      <c r="H407" s="92"/>
    </row>
    <row r="408" customFormat="false" ht="15" hidden="false" customHeight="false" outlineLevel="0" collapsed="false">
      <c r="H408" s="92"/>
    </row>
    <row r="409" customFormat="false" ht="15" hidden="false" customHeight="false" outlineLevel="0" collapsed="false">
      <c r="H409" s="92"/>
    </row>
    <row r="410" customFormat="false" ht="15" hidden="false" customHeight="false" outlineLevel="0" collapsed="false">
      <c r="H410" s="92"/>
    </row>
    <row r="411" customFormat="false" ht="15" hidden="false" customHeight="false" outlineLevel="0" collapsed="false">
      <c r="H411" s="92"/>
    </row>
    <row r="412" customFormat="false" ht="15" hidden="false" customHeight="false" outlineLevel="0" collapsed="false">
      <c r="H412" s="92"/>
    </row>
    <row r="413" customFormat="false" ht="15" hidden="false" customHeight="false" outlineLevel="0" collapsed="false">
      <c r="H413" s="92"/>
    </row>
    <row r="414" customFormat="false" ht="15" hidden="false" customHeight="false" outlineLevel="0" collapsed="false">
      <c r="H414" s="92"/>
    </row>
    <row r="415" customFormat="false" ht="15" hidden="false" customHeight="false" outlineLevel="0" collapsed="false">
      <c r="H415" s="92"/>
    </row>
    <row r="416" customFormat="false" ht="15" hidden="false" customHeight="false" outlineLevel="0" collapsed="false">
      <c r="H416" s="92"/>
    </row>
    <row r="417" customFormat="false" ht="15" hidden="false" customHeight="false" outlineLevel="0" collapsed="false">
      <c r="H417" s="92"/>
    </row>
    <row r="418" customFormat="false" ht="15" hidden="false" customHeight="false" outlineLevel="0" collapsed="false">
      <c r="H418" s="92"/>
    </row>
    <row r="419" customFormat="false" ht="15" hidden="false" customHeight="false" outlineLevel="0" collapsed="false">
      <c r="H419" s="92"/>
    </row>
    <row r="420" customFormat="false" ht="15" hidden="false" customHeight="false" outlineLevel="0" collapsed="false">
      <c r="H420" s="92"/>
    </row>
    <row r="421" customFormat="false" ht="15" hidden="false" customHeight="false" outlineLevel="0" collapsed="false">
      <c r="H421" s="92"/>
    </row>
    <row r="422" customFormat="false" ht="15" hidden="false" customHeight="false" outlineLevel="0" collapsed="false">
      <c r="H422" s="92"/>
    </row>
    <row r="423" customFormat="false" ht="15" hidden="false" customHeight="false" outlineLevel="0" collapsed="false">
      <c r="H423" s="92"/>
    </row>
    <row r="424" customFormat="false" ht="15" hidden="false" customHeight="false" outlineLevel="0" collapsed="false">
      <c r="H424" s="92"/>
    </row>
    <row r="425" customFormat="false" ht="15" hidden="false" customHeight="false" outlineLevel="0" collapsed="false">
      <c r="H425" s="92"/>
    </row>
    <row r="426" customFormat="false" ht="15" hidden="false" customHeight="false" outlineLevel="0" collapsed="false">
      <c r="H426" s="92"/>
    </row>
    <row r="427" customFormat="false" ht="15" hidden="false" customHeight="false" outlineLevel="0" collapsed="false">
      <c r="H427" s="92"/>
    </row>
    <row r="428" customFormat="false" ht="15" hidden="false" customHeight="false" outlineLevel="0" collapsed="false">
      <c r="H428" s="92"/>
    </row>
    <row r="429" customFormat="false" ht="15" hidden="false" customHeight="false" outlineLevel="0" collapsed="false">
      <c r="H429" s="92"/>
    </row>
    <row r="430" customFormat="false" ht="15" hidden="false" customHeight="false" outlineLevel="0" collapsed="false">
      <c r="H430" s="92"/>
    </row>
    <row r="431" customFormat="false" ht="15" hidden="false" customHeight="false" outlineLevel="0" collapsed="false">
      <c r="H431" s="92"/>
    </row>
    <row r="432" customFormat="false" ht="15" hidden="false" customHeight="false" outlineLevel="0" collapsed="false">
      <c r="H432" s="92"/>
    </row>
    <row r="433" customFormat="false" ht="15" hidden="false" customHeight="false" outlineLevel="0" collapsed="false">
      <c r="H433" s="92"/>
    </row>
    <row r="434" customFormat="false" ht="15" hidden="false" customHeight="false" outlineLevel="0" collapsed="false">
      <c r="H434" s="92"/>
    </row>
    <row r="435" customFormat="false" ht="15" hidden="false" customHeight="false" outlineLevel="0" collapsed="false">
      <c r="H435" s="92"/>
    </row>
    <row r="436" customFormat="false" ht="15" hidden="false" customHeight="false" outlineLevel="0" collapsed="false">
      <c r="H436" s="92"/>
    </row>
    <row r="437" customFormat="false" ht="15" hidden="false" customHeight="false" outlineLevel="0" collapsed="false">
      <c r="H437" s="92"/>
    </row>
    <row r="438" customFormat="false" ht="15" hidden="false" customHeight="false" outlineLevel="0" collapsed="false">
      <c r="H438" s="92"/>
    </row>
    <row r="439" customFormat="false" ht="15" hidden="false" customHeight="false" outlineLevel="0" collapsed="false">
      <c r="H439" s="92"/>
    </row>
    <row r="440" customFormat="false" ht="15" hidden="false" customHeight="false" outlineLevel="0" collapsed="false">
      <c r="H440" s="92"/>
    </row>
    <row r="441" customFormat="false" ht="15" hidden="false" customHeight="false" outlineLevel="0" collapsed="false">
      <c r="H441" s="92"/>
    </row>
    <row r="442" customFormat="false" ht="15" hidden="false" customHeight="false" outlineLevel="0" collapsed="false">
      <c r="H442" s="92"/>
    </row>
    <row r="443" customFormat="false" ht="15" hidden="false" customHeight="false" outlineLevel="0" collapsed="false">
      <c r="H443" s="92"/>
    </row>
    <row r="444" customFormat="false" ht="15" hidden="false" customHeight="false" outlineLevel="0" collapsed="false">
      <c r="H444" s="92"/>
    </row>
    <row r="445" customFormat="false" ht="15" hidden="false" customHeight="false" outlineLevel="0" collapsed="false">
      <c r="H445" s="92"/>
    </row>
    <row r="446" customFormat="false" ht="15" hidden="false" customHeight="false" outlineLevel="0" collapsed="false">
      <c r="H446" s="92"/>
    </row>
    <row r="447" customFormat="false" ht="15" hidden="false" customHeight="false" outlineLevel="0" collapsed="false">
      <c r="H447" s="92"/>
    </row>
    <row r="448" customFormat="false" ht="15" hidden="false" customHeight="false" outlineLevel="0" collapsed="false">
      <c r="H448" s="92"/>
    </row>
    <row r="449" customFormat="false" ht="15" hidden="false" customHeight="false" outlineLevel="0" collapsed="false">
      <c r="H449" s="92"/>
    </row>
    <row r="450" customFormat="false" ht="15" hidden="false" customHeight="false" outlineLevel="0" collapsed="false">
      <c r="H450" s="92"/>
    </row>
    <row r="451" customFormat="false" ht="15" hidden="false" customHeight="false" outlineLevel="0" collapsed="false">
      <c r="H451" s="92"/>
    </row>
    <row r="452" customFormat="false" ht="15" hidden="false" customHeight="false" outlineLevel="0" collapsed="false">
      <c r="H452" s="92"/>
    </row>
    <row r="453" customFormat="false" ht="15" hidden="false" customHeight="false" outlineLevel="0" collapsed="false">
      <c r="H453" s="92"/>
    </row>
    <row r="454" customFormat="false" ht="15" hidden="false" customHeight="false" outlineLevel="0" collapsed="false">
      <c r="H454" s="92"/>
    </row>
    <row r="455" customFormat="false" ht="15" hidden="false" customHeight="false" outlineLevel="0" collapsed="false">
      <c r="H455" s="92"/>
    </row>
    <row r="456" customFormat="false" ht="15" hidden="false" customHeight="false" outlineLevel="0" collapsed="false">
      <c r="H456" s="92"/>
    </row>
    <row r="457" customFormat="false" ht="15" hidden="false" customHeight="false" outlineLevel="0" collapsed="false">
      <c r="H457" s="92"/>
    </row>
    <row r="458" customFormat="false" ht="15" hidden="false" customHeight="false" outlineLevel="0" collapsed="false">
      <c r="H458" s="92"/>
    </row>
    <row r="459" customFormat="false" ht="15" hidden="false" customHeight="false" outlineLevel="0" collapsed="false">
      <c r="H459" s="92"/>
    </row>
    <row r="460" customFormat="false" ht="15" hidden="false" customHeight="false" outlineLevel="0" collapsed="false">
      <c r="H460" s="92"/>
    </row>
    <row r="461" customFormat="false" ht="15" hidden="false" customHeight="false" outlineLevel="0" collapsed="false">
      <c r="H461" s="92"/>
    </row>
    <row r="462" customFormat="false" ht="15" hidden="false" customHeight="false" outlineLevel="0" collapsed="false">
      <c r="H462" s="92"/>
    </row>
    <row r="463" customFormat="false" ht="15" hidden="false" customHeight="false" outlineLevel="0" collapsed="false">
      <c r="H463" s="92"/>
    </row>
    <row r="464" customFormat="false" ht="15" hidden="false" customHeight="false" outlineLevel="0" collapsed="false">
      <c r="H464" s="92"/>
    </row>
    <row r="465" customFormat="false" ht="15" hidden="false" customHeight="false" outlineLevel="0" collapsed="false">
      <c r="H465" s="92"/>
    </row>
    <row r="466" customFormat="false" ht="15" hidden="false" customHeight="false" outlineLevel="0" collapsed="false">
      <c r="H466" s="92"/>
    </row>
    <row r="467" customFormat="false" ht="15" hidden="false" customHeight="false" outlineLevel="0" collapsed="false">
      <c r="H467" s="92"/>
    </row>
    <row r="468" customFormat="false" ht="15" hidden="false" customHeight="false" outlineLevel="0" collapsed="false">
      <c r="H468" s="92"/>
    </row>
    <row r="469" customFormat="false" ht="15" hidden="false" customHeight="false" outlineLevel="0" collapsed="false">
      <c r="H469" s="92"/>
    </row>
    <row r="470" customFormat="false" ht="15" hidden="false" customHeight="false" outlineLevel="0" collapsed="false">
      <c r="H470" s="92"/>
    </row>
    <row r="471" customFormat="false" ht="15" hidden="false" customHeight="false" outlineLevel="0" collapsed="false">
      <c r="H471" s="92"/>
    </row>
    <row r="472" customFormat="false" ht="15" hidden="false" customHeight="false" outlineLevel="0" collapsed="false">
      <c r="H472" s="92"/>
    </row>
    <row r="473" customFormat="false" ht="15" hidden="false" customHeight="false" outlineLevel="0" collapsed="false">
      <c r="H473" s="92"/>
    </row>
    <row r="474" customFormat="false" ht="15" hidden="false" customHeight="false" outlineLevel="0" collapsed="false">
      <c r="H474" s="92"/>
    </row>
    <row r="475" customFormat="false" ht="15" hidden="false" customHeight="false" outlineLevel="0" collapsed="false">
      <c r="H475" s="92"/>
    </row>
    <row r="476" customFormat="false" ht="15" hidden="false" customHeight="false" outlineLevel="0" collapsed="false">
      <c r="H476" s="92"/>
    </row>
    <row r="477" customFormat="false" ht="15" hidden="false" customHeight="false" outlineLevel="0" collapsed="false">
      <c r="H477" s="92"/>
    </row>
    <row r="478" customFormat="false" ht="15" hidden="false" customHeight="false" outlineLevel="0" collapsed="false">
      <c r="H478" s="92"/>
    </row>
    <row r="479" customFormat="false" ht="15" hidden="false" customHeight="false" outlineLevel="0" collapsed="false">
      <c r="H479" s="92"/>
    </row>
    <row r="480" customFormat="false" ht="15" hidden="false" customHeight="false" outlineLevel="0" collapsed="false">
      <c r="H480" s="92"/>
    </row>
    <row r="481" customFormat="false" ht="15" hidden="false" customHeight="false" outlineLevel="0" collapsed="false">
      <c r="H481" s="92"/>
    </row>
    <row r="482" customFormat="false" ht="15" hidden="false" customHeight="false" outlineLevel="0" collapsed="false">
      <c r="H482" s="92"/>
    </row>
    <row r="483" customFormat="false" ht="15" hidden="false" customHeight="false" outlineLevel="0" collapsed="false">
      <c r="H483" s="92"/>
    </row>
    <row r="484" customFormat="false" ht="15" hidden="false" customHeight="false" outlineLevel="0" collapsed="false">
      <c r="H484" s="92"/>
    </row>
    <row r="485" customFormat="false" ht="15" hidden="false" customHeight="false" outlineLevel="0" collapsed="false">
      <c r="H485" s="92"/>
    </row>
    <row r="486" customFormat="false" ht="15" hidden="false" customHeight="false" outlineLevel="0" collapsed="false">
      <c r="H486" s="92"/>
    </row>
    <row r="487" customFormat="false" ht="15" hidden="false" customHeight="false" outlineLevel="0" collapsed="false">
      <c r="H487" s="92"/>
    </row>
    <row r="488" customFormat="false" ht="15" hidden="false" customHeight="false" outlineLevel="0" collapsed="false">
      <c r="H488" s="92"/>
    </row>
    <row r="489" customFormat="false" ht="15" hidden="false" customHeight="false" outlineLevel="0" collapsed="false">
      <c r="H489" s="92"/>
    </row>
    <row r="490" customFormat="false" ht="15" hidden="false" customHeight="false" outlineLevel="0" collapsed="false">
      <c r="H490" s="92"/>
    </row>
    <row r="491" customFormat="false" ht="15" hidden="false" customHeight="false" outlineLevel="0" collapsed="false">
      <c r="H491" s="92"/>
    </row>
    <row r="492" customFormat="false" ht="15" hidden="false" customHeight="false" outlineLevel="0" collapsed="false">
      <c r="H492" s="92"/>
    </row>
    <row r="493" customFormat="false" ht="15" hidden="false" customHeight="false" outlineLevel="0" collapsed="false">
      <c r="H493" s="92"/>
    </row>
    <row r="494" customFormat="false" ht="15" hidden="false" customHeight="false" outlineLevel="0" collapsed="false">
      <c r="H494" s="92"/>
    </row>
    <row r="495" customFormat="false" ht="15" hidden="false" customHeight="false" outlineLevel="0" collapsed="false">
      <c r="H495" s="92"/>
    </row>
    <row r="496" customFormat="false" ht="15" hidden="false" customHeight="false" outlineLevel="0" collapsed="false">
      <c r="H496" s="92"/>
    </row>
    <row r="497" customFormat="false" ht="15" hidden="false" customHeight="false" outlineLevel="0" collapsed="false">
      <c r="H497" s="92"/>
    </row>
    <row r="498" customFormat="false" ht="15" hidden="false" customHeight="false" outlineLevel="0" collapsed="false">
      <c r="H498" s="92"/>
    </row>
    <row r="499" customFormat="false" ht="15" hidden="false" customHeight="false" outlineLevel="0" collapsed="false">
      <c r="H499" s="92"/>
    </row>
    <row r="500" customFormat="false" ht="15" hidden="false" customHeight="false" outlineLevel="0" collapsed="false">
      <c r="H500" s="92"/>
    </row>
    <row r="501" customFormat="false" ht="15" hidden="false" customHeight="false" outlineLevel="0" collapsed="false">
      <c r="H501" s="92"/>
    </row>
    <row r="502" customFormat="false" ht="15" hidden="false" customHeight="false" outlineLevel="0" collapsed="false">
      <c r="H502" s="92"/>
    </row>
    <row r="503" customFormat="false" ht="15" hidden="false" customHeight="false" outlineLevel="0" collapsed="false">
      <c r="H503" s="92"/>
    </row>
    <row r="504" customFormat="false" ht="15" hidden="false" customHeight="false" outlineLevel="0" collapsed="false">
      <c r="H504" s="92"/>
    </row>
    <row r="505" customFormat="false" ht="15" hidden="false" customHeight="false" outlineLevel="0" collapsed="false">
      <c r="H505" s="92"/>
    </row>
    <row r="506" customFormat="false" ht="15" hidden="false" customHeight="false" outlineLevel="0" collapsed="false">
      <c r="H506" s="92"/>
    </row>
    <row r="507" customFormat="false" ht="15" hidden="false" customHeight="false" outlineLevel="0" collapsed="false">
      <c r="H507" s="92"/>
    </row>
    <row r="508" customFormat="false" ht="15" hidden="false" customHeight="false" outlineLevel="0" collapsed="false">
      <c r="H508" s="92"/>
    </row>
    <row r="509" customFormat="false" ht="15" hidden="false" customHeight="false" outlineLevel="0" collapsed="false">
      <c r="H509" s="92"/>
    </row>
    <row r="510" customFormat="false" ht="15" hidden="false" customHeight="false" outlineLevel="0" collapsed="false">
      <c r="H510" s="92"/>
    </row>
    <row r="511" customFormat="false" ht="15" hidden="false" customHeight="false" outlineLevel="0" collapsed="false">
      <c r="H511" s="92"/>
    </row>
    <row r="512" customFormat="false" ht="15" hidden="false" customHeight="false" outlineLevel="0" collapsed="false">
      <c r="H512" s="92"/>
    </row>
    <row r="513" customFormat="false" ht="15" hidden="false" customHeight="false" outlineLevel="0" collapsed="false">
      <c r="H513" s="92"/>
    </row>
    <row r="514" customFormat="false" ht="15" hidden="false" customHeight="false" outlineLevel="0" collapsed="false">
      <c r="H514" s="92"/>
    </row>
    <row r="515" customFormat="false" ht="15" hidden="false" customHeight="false" outlineLevel="0" collapsed="false">
      <c r="H515" s="92"/>
    </row>
    <row r="516" customFormat="false" ht="15" hidden="false" customHeight="false" outlineLevel="0" collapsed="false">
      <c r="H516" s="92"/>
    </row>
    <row r="517" customFormat="false" ht="15" hidden="false" customHeight="false" outlineLevel="0" collapsed="false">
      <c r="H517" s="92"/>
    </row>
    <row r="518" customFormat="false" ht="15" hidden="false" customHeight="false" outlineLevel="0" collapsed="false">
      <c r="H518" s="92"/>
    </row>
    <row r="519" customFormat="false" ht="15" hidden="false" customHeight="false" outlineLevel="0" collapsed="false">
      <c r="H519" s="92"/>
    </row>
    <row r="520" customFormat="false" ht="15" hidden="false" customHeight="false" outlineLevel="0" collapsed="false">
      <c r="H520" s="92"/>
    </row>
    <row r="521" customFormat="false" ht="15" hidden="false" customHeight="false" outlineLevel="0" collapsed="false">
      <c r="H521" s="92"/>
    </row>
    <row r="522" customFormat="false" ht="15" hidden="false" customHeight="false" outlineLevel="0" collapsed="false">
      <c r="H522" s="92"/>
    </row>
    <row r="523" customFormat="false" ht="15" hidden="false" customHeight="false" outlineLevel="0" collapsed="false">
      <c r="H523" s="92"/>
    </row>
    <row r="524" customFormat="false" ht="15" hidden="false" customHeight="false" outlineLevel="0" collapsed="false">
      <c r="H524" s="92"/>
    </row>
    <row r="525" customFormat="false" ht="15" hidden="false" customHeight="false" outlineLevel="0" collapsed="false">
      <c r="H525" s="92"/>
    </row>
    <row r="526" customFormat="false" ht="15" hidden="false" customHeight="false" outlineLevel="0" collapsed="false">
      <c r="H526" s="92"/>
    </row>
    <row r="527" customFormat="false" ht="15" hidden="false" customHeight="false" outlineLevel="0" collapsed="false">
      <c r="H527" s="92"/>
    </row>
    <row r="528" customFormat="false" ht="15" hidden="false" customHeight="false" outlineLevel="0" collapsed="false">
      <c r="H528" s="92"/>
    </row>
    <row r="529" customFormat="false" ht="15" hidden="false" customHeight="false" outlineLevel="0" collapsed="false">
      <c r="H529" s="92"/>
    </row>
    <row r="530" customFormat="false" ht="15" hidden="false" customHeight="false" outlineLevel="0" collapsed="false">
      <c r="H530" s="92"/>
    </row>
    <row r="531" customFormat="false" ht="15" hidden="false" customHeight="false" outlineLevel="0" collapsed="false">
      <c r="H531" s="92"/>
    </row>
    <row r="532" customFormat="false" ht="15" hidden="false" customHeight="false" outlineLevel="0" collapsed="false">
      <c r="H532" s="92"/>
    </row>
    <row r="533" customFormat="false" ht="15" hidden="false" customHeight="false" outlineLevel="0" collapsed="false">
      <c r="H533" s="92"/>
    </row>
    <row r="534" customFormat="false" ht="15" hidden="false" customHeight="false" outlineLevel="0" collapsed="false">
      <c r="H534" s="92"/>
    </row>
    <row r="535" customFormat="false" ht="15" hidden="false" customHeight="false" outlineLevel="0" collapsed="false">
      <c r="H535" s="92"/>
    </row>
    <row r="536" customFormat="false" ht="15" hidden="false" customHeight="false" outlineLevel="0" collapsed="false">
      <c r="H536" s="92"/>
    </row>
    <row r="537" customFormat="false" ht="15" hidden="false" customHeight="false" outlineLevel="0" collapsed="false">
      <c r="H537" s="92"/>
    </row>
    <row r="538" customFormat="false" ht="15" hidden="false" customHeight="false" outlineLevel="0" collapsed="false">
      <c r="H538" s="92"/>
    </row>
    <row r="539" customFormat="false" ht="15" hidden="false" customHeight="false" outlineLevel="0" collapsed="false">
      <c r="H539" s="92"/>
    </row>
    <row r="540" customFormat="false" ht="15" hidden="false" customHeight="false" outlineLevel="0" collapsed="false">
      <c r="H540" s="92"/>
    </row>
    <row r="541" customFormat="false" ht="15" hidden="false" customHeight="false" outlineLevel="0" collapsed="false">
      <c r="H541" s="92"/>
    </row>
    <row r="542" customFormat="false" ht="15" hidden="false" customHeight="false" outlineLevel="0" collapsed="false">
      <c r="H542" s="92"/>
    </row>
    <row r="543" customFormat="false" ht="15" hidden="false" customHeight="false" outlineLevel="0" collapsed="false">
      <c r="H543" s="92"/>
    </row>
    <row r="544" customFormat="false" ht="15" hidden="false" customHeight="false" outlineLevel="0" collapsed="false">
      <c r="H544" s="92"/>
    </row>
    <row r="545" customFormat="false" ht="15" hidden="false" customHeight="false" outlineLevel="0" collapsed="false">
      <c r="H545" s="92"/>
    </row>
    <row r="546" customFormat="false" ht="15" hidden="false" customHeight="false" outlineLevel="0" collapsed="false">
      <c r="H546" s="92"/>
    </row>
    <row r="547" customFormat="false" ht="15" hidden="false" customHeight="false" outlineLevel="0" collapsed="false">
      <c r="H547" s="92"/>
    </row>
    <row r="548" customFormat="false" ht="15" hidden="false" customHeight="false" outlineLevel="0" collapsed="false">
      <c r="H548" s="92"/>
    </row>
    <row r="549" customFormat="false" ht="15" hidden="false" customHeight="false" outlineLevel="0" collapsed="false">
      <c r="H549" s="92"/>
    </row>
    <row r="550" customFormat="false" ht="15" hidden="false" customHeight="false" outlineLevel="0" collapsed="false">
      <c r="H550" s="92"/>
    </row>
    <row r="551" customFormat="false" ht="15" hidden="false" customHeight="false" outlineLevel="0" collapsed="false">
      <c r="H551" s="92"/>
    </row>
    <row r="552" customFormat="false" ht="15" hidden="false" customHeight="false" outlineLevel="0" collapsed="false">
      <c r="H552" s="92"/>
    </row>
    <row r="553" customFormat="false" ht="15" hidden="false" customHeight="false" outlineLevel="0" collapsed="false">
      <c r="H553" s="92"/>
    </row>
    <row r="554" customFormat="false" ht="15" hidden="false" customHeight="false" outlineLevel="0" collapsed="false">
      <c r="H554" s="92"/>
    </row>
    <row r="555" customFormat="false" ht="15" hidden="false" customHeight="false" outlineLevel="0" collapsed="false">
      <c r="H555" s="92"/>
    </row>
    <row r="556" customFormat="false" ht="15" hidden="false" customHeight="false" outlineLevel="0" collapsed="false">
      <c r="H556" s="92"/>
    </row>
    <row r="557" customFormat="false" ht="15" hidden="false" customHeight="false" outlineLevel="0" collapsed="false">
      <c r="H557" s="92"/>
    </row>
    <row r="558" customFormat="false" ht="15" hidden="false" customHeight="false" outlineLevel="0" collapsed="false">
      <c r="H558" s="92"/>
    </row>
    <row r="559" customFormat="false" ht="15" hidden="false" customHeight="false" outlineLevel="0" collapsed="false">
      <c r="H559" s="92"/>
    </row>
    <row r="560" customFormat="false" ht="15" hidden="false" customHeight="false" outlineLevel="0" collapsed="false">
      <c r="H560" s="92"/>
    </row>
    <row r="561" customFormat="false" ht="15" hidden="false" customHeight="false" outlineLevel="0" collapsed="false">
      <c r="H561" s="92"/>
    </row>
    <row r="562" customFormat="false" ht="15" hidden="false" customHeight="false" outlineLevel="0" collapsed="false">
      <c r="H562" s="92"/>
    </row>
    <row r="563" customFormat="false" ht="15" hidden="false" customHeight="false" outlineLevel="0" collapsed="false">
      <c r="H563" s="92"/>
    </row>
    <row r="564" customFormat="false" ht="15" hidden="false" customHeight="false" outlineLevel="0" collapsed="false">
      <c r="H564" s="92"/>
    </row>
    <row r="565" customFormat="false" ht="15" hidden="false" customHeight="false" outlineLevel="0" collapsed="false">
      <c r="H565" s="92"/>
    </row>
    <row r="566" customFormat="false" ht="15" hidden="false" customHeight="false" outlineLevel="0" collapsed="false">
      <c r="H566" s="92"/>
    </row>
    <row r="567" customFormat="false" ht="15" hidden="false" customHeight="false" outlineLevel="0" collapsed="false">
      <c r="H567" s="92"/>
    </row>
    <row r="568" customFormat="false" ht="15" hidden="false" customHeight="false" outlineLevel="0" collapsed="false">
      <c r="H568" s="92"/>
    </row>
    <row r="569" customFormat="false" ht="15" hidden="false" customHeight="false" outlineLevel="0" collapsed="false">
      <c r="H569" s="92"/>
    </row>
    <row r="570" customFormat="false" ht="15" hidden="false" customHeight="false" outlineLevel="0" collapsed="false">
      <c r="H570" s="92"/>
    </row>
    <row r="571" customFormat="false" ht="15" hidden="false" customHeight="false" outlineLevel="0" collapsed="false">
      <c r="H571" s="92"/>
    </row>
    <row r="572" customFormat="false" ht="15" hidden="false" customHeight="false" outlineLevel="0" collapsed="false">
      <c r="H572" s="92"/>
    </row>
    <row r="573" customFormat="false" ht="15" hidden="false" customHeight="false" outlineLevel="0" collapsed="false">
      <c r="H573" s="92"/>
    </row>
    <row r="574" customFormat="false" ht="15" hidden="false" customHeight="false" outlineLevel="0" collapsed="false">
      <c r="H574" s="92"/>
    </row>
    <row r="575" customFormat="false" ht="15" hidden="false" customHeight="false" outlineLevel="0" collapsed="false">
      <c r="H575" s="92"/>
    </row>
    <row r="576" customFormat="false" ht="15" hidden="false" customHeight="false" outlineLevel="0" collapsed="false">
      <c r="H576" s="92"/>
    </row>
    <row r="577" customFormat="false" ht="15" hidden="false" customHeight="false" outlineLevel="0" collapsed="false">
      <c r="H577" s="92"/>
    </row>
    <row r="578" customFormat="false" ht="15" hidden="false" customHeight="false" outlineLevel="0" collapsed="false">
      <c r="H578" s="92"/>
    </row>
    <row r="579" customFormat="false" ht="15" hidden="false" customHeight="false" outlineLevel="0" collapsed="false">
      <c r="H579" s="92"/>
    </row>
    <row r="580" customFormat="false" ht="15" hidden="false" customHeight="false" outlineLevel="0" collapsed="false">
      <c r="H580" s="92"/>
    </row>
    <row r="581" customFormat="false" ht="15" hidden="false" customHeight="false" outlineLevel="0" collapsed="false">
      <c r="H581" s="92"/>
    </row>
    <row r="582" customFormat="false" ht="15" hidden="false" customHeight="false" outlineLevel="0" collapsed="false">
      <c r="H582" s="92"/>
    </row>
    <row r="583" customFormat="false" ht="15" hidden="false" customHeight="false" outlineLevel="0" collapsed="false">
      <c r="H583" s="92"/>
    </row>
    <row r="584" customFormat="false" ht="15" hidden="false" customHeight="false" outlineLevel="0" collapsed="false">
      <c r="H584" s="92"/>
    </row>
    <row r="585" customFormat="false" ht="15" hidden="false" customHeight="false" outlineLevel="0" collapsed="false">
      <c r="H585" s="92"/>
    </row>
    <row r="586" customFormat="false" ht="15" hidden="false" customHeight="false" outlineLevel="0" collapsed="false">
      <c r="H586" s="92"/>
    </row>
    <row r="587" customFormat="false" ht="15" hidden="false" customHeight="false" outlineLevel="0" collapsed="false">
      <c r="H587" s="92"/>
    </row>
    <row r="588" customFormat="false" ht="15" hidden="false" customHeight="false" outlineLevel="0" collapsed="false">
      <c r="H588" s="92"/>
    </row>
    <row r="589" customFormat="false" ht="15" hidden="false" customHeight="false" outlineLevel="0" collapsed="false">
      <c r="H589" s="92"/>
    </row>
    <row r="590" customFormat="false" ht="15" hidden="false" customHeight="false" outlineLevel="0" collapsed="false">
      <c r="H590" s="92"/>
    </row>
    <row r="591" customFormat="false" ht="15" hidden="false" customHeight="false" outlineLevel="0" collapsed="false">
      <c r="H591" s="92"/>
    </row>
    <row r="592" customFormat="false" ht="15" hidden="false" customHeight="false" outlineLevel="0" collapsed="false">
      <c r="H592" s="92"/>
    </row>
    <row r="593" customFormat="false" ht="15" hidden="false" customHeight="false" outlineLevel="0" collapsed="false">
      <c r="H593" s="92"/>
    </row>
    <row r="594" customFormat="false" ht="15" hidden="false" customHeight="false" outlineLevel="0" collapsed="false">
      <c r="H594" s="92"/>
    </row>
    <row r="595" customFormat="false" ht="15" hidden="false" customHeight="false" outlineLevel="0" collapsed="false">
      <c r="H595" s="92"/>
    </row>
    <row r="596" customFormat="false" ht="15" hidden="false" customHeight="false" outlineLevel="0" collapsed="false">
      <c r="H596" s="92"/>
    </row>
    <row r="597" customFormat="false" ht="15" hidden="false" customHeight="false" outlineLevel="0" collapsed="false">
      <c r="H597" s="92"/>
    </row>
    <row r="598" customFormat="false" ht="15" hidden="false" customHeight="false" outlineLevel="0" collapsed="false">
      <c r="H598" s="92"/>
    </row>
    <row r="599" customFormat="false" ht="15" hidden="false" customHeight="false" outlineLevel="0" collapsed="false">
      <c r="H599" s="92"/>
    </row>
    <row r="600" customFormat="false" ht="15" hidden="false" customHeight="false" outlineLevel="0" collapsed="false">
      <c r="H600" s="92"/>
    </row>
    <row r="601" customFormat="false" ht="15" hidden="false" customHeight="false" outlineLevel="0" collapsed="false">
      <c r="H601" s="92"/>
    </row>
    <row r="602" customFormat="false" ht="15" hidden="false" customHeight="false" outlineLevel="0" collapsed="false">
      <c r="H602" s="92"/>
    </row>
    <row r="603" customFormat="false" ht="15" hidden="false" customHeight="false" outlineLevel="0" collapsed="false">
      <c r="H603" s="92"/>
    </row>
    <row r="604" customFormat="false" ht="15" hidden="false" customHeight="false" outlineLevel="0" collapsed="false">
      <c r="H604" s="92"/>
    </row>
    <row r="605" customFormat="false" ht="15" hidden="false" customHeight="false" outlineLevel="0" collapsed="false">
      <c r="H605" s="92"/>
    </row>
    <row r="606" customFormat="false" ht="15" hidden="false" customHeight="false" outlineLevel="0" collapsed="false">
      <c r="H606" s="92"/>
    </row>
    <row r="607" customFormat="false" ht="15" hidden="false" customHeight="false" outlineLevel="0" collapsed="false">
      <c r="H607" s="92"/>
    </row>
    <row r="608" customFormat="false" ht="15" hidden="false" customHeight="false" outlineLevel="0" collapsed="false">
      <c r="H608" s="92"/>
    </row>
    <row r="609" customFormat="false" ht="15" hidden="false" customHeight="false" outlineLevel="0" collapsed="false">
      <c r="H609" s="92"/>
    </row>
    <row r="610" customFormat="false" ht="15" hidden="false" customHeight="false" outlineLevel="0" collapsed="false">
      <c r="H610" s="92"/>
    </row>
    <row r="611" customFormat="false" ht="15" hidden="false" customHeight="false" outlineLevel="0" collapsed="false">
      <c r="H611" s="92"/>
    </row>
    <row r="612" customFormat="false" ht="15" hidden="false" customHeight="false" outlineLevel="0" collapsed="false">
      <c r="H612" s="92"/>
    </row>
    <row r="613" customFormat="false" ht="15" hidden="false" customHeight="false" outlineLevel="0" collapsed="false">
      <c r="H613" s="92"/>
    </row>
    <row r="614" customFormat="false" ht="15" hidden="false" customHeight="false" outlineLevel="0" collapsed="false">
      <c r="H614" s="92"/>
    </row>
    <row r="615" customFormat="false" ht="15" hidden="false" customHeight="false" outlineLevel="0" collapsed="false">
      <c r="H615" s="92"/>
    </row>
    <row r="616" customFormat="false" ht="15" hidden="false" customHeight="false" outlineLevel="0" collapsed="false">
      <c r="H616" s="92"/>
    </row>
    <row r="617" customFormat="false" ht="15" hidden="false" customHeight="false" outlineLevel="0" collapsed="false">
      <c r="H617" s="92"/>
    </row>
    <row r="618" customFormat="false" ht="15" hidden="false" customHeight="false" outlineLevel="0" collapsed="false">
      <c r="H618" s="92"/>
    </row>
    <row r="619" customFormat="false" ht="15" hidden="false" customHeight="false" outlineLevel="0" collapsed="false">
      <c r="H619" s="92"/>
    </row>
    <row r="620" customFormat="false" ht="15" hidden="false" customHeight="false" outlineLevel="0" collapsed="false">
      <c r="H620" s="92"/>
    </row>
    <row r="621" customFormat="false" ht="15" hidden="false" customHeight="false" outlineLevel="0" collapsed="false">
      <c r="H621" s="92"/>
    </row>
    <row r="622" customFormat="false" ht="15" hidden="false" customHeight="false" outlineLevel="0" collapsed="false">
      <c r="H622" s="92"/>
    </row>
    <row r="623" customFormat="false" ht="15" hidden="false" customHeight="false" outlineLevel="0" collapsed="false">
      <c r="H623" s="92"/>
    </row>
    <row r="624" customFormat="false" ht="15" hidden="false" customHeight="false" outlineLevel="0" collapsed="false">
      <c r="H624" s="92"/>
    </row>
    <row r="625" customFormat="false" ht="15" hidden="false" customHeight="false" outlineLevel="0" collapsed="false">
      <c r="H625" s="92"/>
    </row>
    <row r="626" customFormat="false" ht="15" hidden="false" customHeight="false" outlineLevel="0" collapsed="false">
      <c r="H626" s="92"/>
    </row>
    <row r="627" customFormat="false" ht="15" hidden="false" customHeight="false" outlineLevel="0" collapsed="false">
      <c r="H627" s="92"/>
    </row>
    <row r="628" customFormat="false" ht="15" hidden="false" customHeight="false" outlineLevel="0" collapsed="false">
      <c r="H628" s="92"/>
    </row>
    <row r="629" customFormat="false" ht="15" hidden="false" customHeight="false" outlineLevel="0" collapsed="false">
      <c r="H629" s="92"/>
    </row>
    <row r="630" customFormat="false" ht="15" hidden="false" customHeight="false" outlineLevel="0" collapsed="false">
      <c r="H630" s="92"/>
    </row>
    <row r="631" customFormat="false" ht="15" hidden="false" customHeight="false" outlineLevel="0" collapsed="false">
      <c r="H631" s="92"/>
    </row>
    <row r="632" customFormat="false" ht="15" hidden="false" customHeight="false" outlineLevel="0" collapsed="false">
      <c r="H632" s="92"/>
    </row>
    <row r="633" customFormat="false" ht="15" hidden="false" customHeight="false" outlineLevel="0" collapsed="false">
      <c r="H633" s="92"/>
    </row>
    <row r="634" customFormat="false" ht="15" hidden="false" customHeight="false" outlineLevel="0" collapsed="false">
      <c r="H634" s="92"/>
    </row>
    <row r="635" customFormat="false" ht="15" hidden="false" customHeight="false" outlineLevel="0" collapsed="false">
      <c r="H635" s="92"/>
    </row>
    <row r="636" customFormat="false" ht="15" hidden="false" customHeight="false" outlineLevel="0" collapsed="false">
      <c r="H636" s="92"/>
    </row>
    <row r="637" customFormat="false" ht="15" hidden="false" customHeight="false" outlineLevel="0" collapsed="false">
      <c r="H637" s="92"/>
    </row>
    <row r="638" customFormat="false" ht="15" hidden="false" customHeight="false" outlineLevel="0" collapsed="false">
      <c r="H638" s="92"/>
    </row>
    <row r="639" customFormat="false" ht="15" hidden="false" customHeight="false" outlineLevel="0" collapsed="false">
      <c r="H639" s="92"/>
    </row>
    <row r="640" customFormat="false" ht="15" hidden="false" customHeight="false" outlineLevel="0" collapsed="false">
      <c r="H640" s="92"/>
    </row>
    <row r="641" customFormat="false" ht="15" hidden="false" customHeight="false" outlineLevel="0" collapsed="false">
      <c r="H641" s="92"/>
    </row>
    <row r="642" customFormat="false" ht="15" hidden="false" customHeight="false" outlineLevel="0" collapsed="false">
      <c r="H642" s="92"/>
    </row>
    <row r="643" customFormat="false" ht="15" hidden="false" customHeight="false" outlineLevel="0" collapsed="false">
      <c r="H643" s="92"/>
    </row>
    <row r="644" customFormat="false" ht="15" hidden="false" customHeight="false" outlineLevel="0" collapsed="false">
      <c r="H644" s="92"/>
    </row>
    <row r="645" customFormat="false" ht="15" hidden="false" customHeight="false" outlineLevel="0" collapsed="false">
      <c r="H645" s="92"/>
    </row>
    <row r="646" customFormat="false" ht="15" hidden="false" customHeight="false" outlineLevel="0" collapsed="false">
      <c r="H646" s="92"/>
    </row>
    <row r="647" customFormat="false" ht="15" hidden="false" customHeight="false" outlineLevel="0" collapsed="false">
      <c r="H647" s="92"/>
    </row>
    <row r="648" customFormat="false" ht="15" hidden="false" customHeight="false" outlineLevel="0" collapsed="false">
      <c r="H648" s="92"/>
    </row>
    <row r="649" customFormat="false" ht="15" hidden="false" customHeight="false" outlineLevel="0" collapsed="false">
      <c r="H649" s="92"/>
    </row>
    <row r="650" customFormat="false" ht="15" hidden="false" customHeight="false" outlineLevel="0" collapsed="false">
      <c r="H650" s="92"/>
    </row>
    <row r="651" customFormat="false" ht="15" hidden="false" customHeight="false" outlineLevel="0" collapsed="false">
      <c r="H651" s="92"/>
    </row>
    <row r="652" customFormat="false" ht="15" hidden="false" customHeight="false" outlineLevel="0" collapsed="false">
      <c r="H652" s="92"/>
    </row>
    <row r="653" customFormat="false" ht="15" hidden="false" customHeight="false" outlineLevel="0" collapsed="false">
      <c r="H653" s="92"/>
    </row>
    <row r="654" customFormat="false" ht="15" hidden="false" customHeight="false" outlineLevel="0" collapsed="false">
      <c r="H654" s="92"/>
    </row>
    <row r="655" customFormat="false" ht="15" hidden="false" customHeight="false" outlineLevel="0" collapsed="false">
      <c r="H655" s="92"/>
    </row>
    <row r="656" customFormat="false" ht="15" hidden="false" customHeight="false" outlineLevel="0" collapsed="false">
      <c r="H656" s="92"/>
    </row>
    <row r="657" customFormat="false" ht="15" hidden="false" customHeight="false" outlineLevel="0" collapsed="false">
      <c r="H657" s="92"/>
    </row>
    <row r="658" customFormat="false" ht="15" hidden="false" customHeight="false" outlineLevel="0" collapsed="false">
      <c r="H658" s="92"/>
    </row>
    <row r="659" customFormat="false" ht="15" hidden="false" customHeight="false" outlineLevel="0" collapsed="false">
      <c r="H659" s="92"/>
    </row>
    <row r="660" customFormat="false" ht="15" hidden="false" customHeight="false" outlineLevel="0" collapsed="false">
      <c r="H660" s="92"/>
    </row>
    <row r="661" customFormat="false" ht="15" hidden="false" customHeight="false" outlineLevel="0" collapsed="false">
      <c r="H661" s="92"/>
    </row>
    <row r="662" customFormat="false" ht="15" hidden="false" customHeight="false" outlineLevel="0" collapsed="false">
      <c r="H662" s="92"/>
    </row>
    <row r="663" customFormat="false" ht="15" hidden="false" customHeight="false" outlineLevel="0" collapsed="false">
      <c r="H663" s="92"/>
    </row>
    <row r="664" customFormat="false" ht="15" hidden="false" customHeight="false" outlineLevel="0" collapsed="false">
      <c r="H664" s="92"/>
    </row>
    <row r="665" customFormat="false" ht="15" hidden="false" customHeight="false" outlineLevel="0" collapsed="false">
      <c r="H665" s="92"/>
    </row>
    <row r="666" customFormat="false" ht="15" hidden="false" customHeight="false" outlineLevel="0" collapsed="false">
      <c r="H666" s="92"/>
    </row>
    <row r="667" customFormat="false" ht="15" hidden="false" customHeight="false" outlineLevel="0" collapsed="false">
      <c r="H667" s="92"/>
    </row>
    <row r="668" customFormat="false" ht="15" hidden="false" customHeight="false" outlineLevel="0" collapsed="false">
      <c r="H668" s="92"/>
    </row>
    <row r="669" customFormat="false" ht="15" hidden="false" customHeight="false" outlineLevel="0" collapsed="false">
      <c r="H669" s="92"/>
    </row>
    <row r="670" customFormat="false" ht="15" hidden="false" customHeight="false" outlineLevel="0" collapsed="false">
      <c r="H670" s="92"/>
    </row>
    <row r="671" customFormat="false" ht="15" hidden="false" customHeight="false" outlineLevel="0" collapsed="false">
      <c r="H671" s="92"/>
    </row>
    <row r="672" customFormat="false" ht="15" hidden="false" customHeight="false" outlineLevel="0" collapsed="false">
      <c r="H672" s="92"/>
    </row>
    <row r="673" customFormat="false" ht="15" hidden="false" customHeight="false" outlineLevel="0" collapsed="false">
      <c r="H673" s="92"/>
    </row>
    <row r="674" customFormat="false" ht="15" hidden="false" customHeight="false" outlineLevel="0" collapsed="false">
      <c r="H674" s="92"/>
    </row>
    <row r="675" customFormat="false" ht="15" hidden="false" customHeight="false" outlineLevel="0" collapsed="false">
      <c r="H675" s="92"/>
    </row>
    <row r="676" customFormat="false" ht="15" hidden="false" customHeight="false" outlineLevel="0" collapsed="false">
      <c r="H676" s="92"/>
    </row>
    <row r="677" customFormat="false" ht="15" hidden="false" customHeight="false" outlineLevel="0" collapsed="false">
      <c r="H677" s="92"/>
    </row>
    <row r="678" customFormat="false" ht="15" hidden="false" customHeight="false" outlineLevel="0" collapsed="false">
      <c r="H678" s="92"/>
    </row>
    <row r="679" customFormat="false" ht="15" hidden="false" customHeight="false" outlineLevel="0" collapsed="false">
      <c r="H679" s="92"/>
    </row>
    <row r="680" customFormat="false" ht="15" hidden="false" customHeight="false" outlineLevel="0" collapsed="false">
      <c r="H680" s="92"/>
    </row>
    <row r="681" customFormat="false" ht="15" hidden="false" customHeight="false" outlineLevel="0" collapsed="false">
      <c r="H681" s="92"/>
    </row>
    <row r="682" customFormat="false" ht="15" hidden="false" customHeight="false" outlineLevel="0" collapsed="false">
      <c r="H682" s="92"/>
    </row>
    <row r="683" customFormat="false" ht="15" hidden="false" customHeight="false" outlineLevel="0" collapsed="false">
      <c r="H683" s="92"/>
    </row>
    <row r="684" customFormat="false" ht="15" hidden="false" customHeight="false" outlineLevel="0" collapsed="false">
      <c r="H684" s="92"/>
    </row>
    <row r="685" customFormat="false" ht="15" hidden="false" customHeight="false" outlineLevel="0" collapsed="false">
      <c r="H685" s="92"/>
    </row>
    <row r="686" customFormat="false" ht="15" hidden="false" customHeight="false" outlineLevel="0" collapsed="false">
      <c r="H686" s="92"/>
    </row>
    <row r="687" customFormat="false" ht="15" hidden="false" customHeight="false" outlineLevel="0" collapsed="false">
      <c r="H687" s="92"/>
    </row>
    <row r="688" customFormat="false" ht="15" hidden="false" customHeight="false" outlineLevel="0" collapsed="false">
      <c r="H688" s="92"/>
    </row>
    <row r="689" customFormat="false" ht="15" hidden="false" customHeight="false" outlineLevel="0" collapsed="false">
      <c r="H689" s="92"/>
    </row>
    <row r="690" customFormat="false" ht="15" hidden="false" customHeight="false" outlineLevel="0" collapsed="false">
      <c r="H690" s="92"/>
    </row>
    <row r="691" customFormat="false" ht="15" hidden="false" customHeight="false" outlineLevel="0" collapsed="false">
      <c r="H691" s="92"/>
    </row>
    <row r="692" customFormat="false" ht="15" hidden="false" customHeight="false" outlineLevel="0" collapsed="false">
      <c r="H692" s="92"/>
    </row>
    <row r="693" customFormat="false" ht="15" hidden="false" customHeight="false" outlineLevel="0" collapsed="false">
      <c r="H693" s="92"/>
    </row>
    <row r="694" customFormat="false" ht="15" hidden="false" customHeight="false" outlineLevel="0" collapsed="false">
      <c r="H694" s="92"/>
    </row>
    <row r="695" customFormat="false" ht="15" hidden="false" customHeight="false" outlineLevel="0" collapsed="false">
      <c r="H695" s="92"/>
    </row>
    <row r="696" customFormat="false" ht="15" hidden="false" customHeight="false" outlineLevel="0" collapsed="false">
      <c r="H696" s="92"/>
    </row>
    <row r="697" customFormat="false" ht="15" hidden="false" customHeight="false" outlineLevel="0" collapsed="false">
      <c r="H697" s="92"/>
    </row>
    <row r="698" customFormat="false" ht="15" hidden="false" customHeight="false" outlineLevel="0" collapsed="false">
      <c r="H698" s="92"/>
    </row>
    <row r="699" customFormat="false" ht="15" hidden="false" customHeight="false" outlineLevel="0" collapsed="false">
      <c r="H699" s="92"/>
    </row>
    <row r="700" customFormat="false" ht="15" hidden="false" customHeight="false" outlineLevel="0" collapsed="false">
      <c r="H700" s="92"/>
    </row>
    <row r="701" customFormat="false" ht="15" hidden="false" customHeight="false" outlineLevel="0" collapsed="false">
      <c r="H701" s="92"/>
    </row>
    <row r="702" customFormat="false" ht="15" hidden="false" customHeight="false" outlineLevel="0" collapsed="false">
      <c r="H702" s="92"/>
    </row>
    <row r="703" customFormat="false" ht="15" hidden="false" customHeight="false" outlineLevel="0" collapsed="false">
      <c r="H703" s="92"/>
    </row>
    <row r="704" customFormat="false" ht="15" hidden="false" customHeight="false" outlineLevel="0" collapsed="false">
      <c r="H704" s="92"/>
    </row>
    <row r="705" customFormat="false" ht="15" hidden="false" customHeight="false" outlineLevel="0" collapsed="false">
      <c r="H705" s="92"/>
    </row>
    <row r="706" customFormat="false" ht="15" hidden="false" customHeight="false" outlineLevel="0" collapsed="false">
      <c r="H706" s="92"/>
    </row>
    <row r="707" customFormat="false" ht="15" hidden="false" customHeight="false" outlineLevel="0" collapsed="false">
      <c r="H707" s="92"/>
    </row>
    <row r="708" customFormat="false" ht="15" hidden="false" customHeight="false" outlineLevel="0" collapsed="false">
      <c r="H708" s="92"/>
    </row>
    <row r="709" customFormat="false" ht="15" hidden="false" customHeight="false" outlineLevel="0" collapsed="false">
      <c r="H709" s="92"/>
    </row>
    <row r="710" customFormat="false" ht="15" hidden="false" customHeight="false" outlineLevel="0" collapsed="false">
      <c r="H710" s="92"/>
    </row>
    <row r="711" customFormat="false" ht="15" hidden="false" customHeight="false" outlineLevel="0" collapsed="false">
      <c r="H711" s="92"/>
    </row>
    <row r="712" customFormat="false" ht="15" hidden="false" customHeight="false" outlineLevel="0" collapsed="false">
      <c r="H712" s="92"/>
    </row>
    <row r="713" customFormat="false" ht="15" hidden="false" customHeight="false" outlineLevel="0" collapsed="false">
      <c r="H713" s="92"/>
    </row>
    <row r="714" customFormat="false" ht="15" hidden="false" customHeight="false" outlineLevel="0" collapsed="false">
      <c r="H714" s="92"/>
    </row>
    <row r="715" customFormat="false" ht="15" hidden="false" customHeight="false" outlineLevel="0" collapsed="false">
      <c r="H715" s="92"/>
    </row>
    <row r="716" customFormat="false" ht="15" hidden="false" customHeight="false" outlineLevel="0" collapsed="false">
      <c r="H716" s="92"/>
    </row>
    <row r="717" customFormat="false" ht="15" hidden="false" customHeight="false" outlineLevel="0" collapsed="false">
      <c r="H717" s="92"/>
    </row>
    <row r="718" customFormat="false" ht="15" hidden="false" customHeight="false" outlineLevel="0" collapsed="false">
      <c r="H718" s="92"/>
    </row>
    <row r="719" customFormat="false" ht="15" hidden="false" customHeight="false" outlineLevel="0" collapsed="false">
      <c r="H719" s="92"/>
    </row>
    <row r="720" customFormat="false" ht="15" hidden="false" customHeight="false" outlineLevel="0" collapsed="false">
      <c r="H720" s="92"/>
    </row>
    <row r="721" customFormat="false" ht="15" hidden="false" customHeight="false" outlineLevel="0" collapsed="false">
      <c r="H721" s="92"/>
    </row>
    <row r="722" customFormat="false" ht="15" hidden="false" customHeight="false" outlineLevel="0" collapsed="false">
      <c r="H722" s="92"/>
    </row>
    <row r="723" customFormat="false" ht="15" hidden="false" customHeight="false" outlineLevel="0" collapsed="false">
      <c r="H723" s="92"/>
    </row>
    <row r="724" customFormat="false" ht="15" hidden="false" customHeight="false" outlineLevel="0" collapsed="false">
      <c r="H724" s="92"/>
    </row>
    <row r="725" customFormat="false" ht="15" hidden="false" customHeight="false" outlineLevel="0" collapsed="false">
      <c r="H725" s="92"/>
    </row>
    <row r="726" customFormat="false" ht="15" hidden="false" customHeight="false" outlineLevel="0" collapsed="false">
      <c r="H726" s="92"/>
    </row>
    <row r="727" customFormat="false" ht="15" hidden="false" customHeight="false" outlineLevel="0" collapsed="false">
      <c r="H727" s="92"/>
    </row>
    <row r="728" customFormat="false" ht="15" hidden="false" customHeight="false" outlineLevel="0" collapsed="false">
      <c r="H728" s="92"/>
    </row>
    <row r="729" customFormat="false" ht="15" hidden="false" customHeight="false" outlineLevel="0" collapsed="false">
      <c r="H729" s="92"/>
    </row>
    <row r="730" customFormat="false" ht="15" hidden="false" customHeight="false" outlineLevel="0" collapsed="false">
      <c r="H730" s="92"/>
    </row>
    <row r="731" customFormat="false" ht="15" hidden="false" customHeight="false" outlineLevel="0" collapsed="false">
      <c r="H731" s="92"/>
    </row>
    <row r="732" customFormat="false" ht="15" hidden="false" customHeight="false" outlineLevel="0" collapsed="false">
      <c r="H732" s="92"/>
    </row>
    <row r="733" customFormat="false" ht="15" hidden="false" customHeight="false" outlineLevel="0" collapsed="false">
      <c r="H733" s="92"/>
    </row>
    <row r="734" customFormat="false" ht="15" hidden="false" customHeight="false" outlineLevel="0" collapsed="false">
      <c r="H734" s="92"/>
    </row>
    <row r="735" customFormat="false" ht="15" hidden="false" customHeight="false" outlineLevel="0" collapsed="false">
      <c r="H735" s="92"/>
    </row>
    <row r="736" customFormat="false" ht="15" hidden="false" customHeight="false" outlineLevel="0" collapsed="false">
      <c r="H736" s="92"/>
    </row>
    <row r="737" customFormat="false" ht="15" hidden="false" customHeight="false" outlineLevel="0" collapsed="false">
      <c r="H737" s="92"/>
    </row>
    <row r="738" customFormat="false" ht="15" hidden="false" customHeight="false" outlineLevel="0" collapsed="false">
      <c r="H738" s="92"/>
    </row>
    <row r="739" customFormat="false" ht="15" hidden="false" customHeight="false" outlineLevel="0" collapsed="false">
      <c r="H739" s="92"/>
    </row>
    <row r="740" customFormat="false" ht="15" hidden="false" customHeight="false" outlineLevel="0" collapsed="false">
      <c r="H740" s="92"/>
    </row>
    <row r="741" customFormat="false" ht="15" hidden="false" customHeight="false" outlineLevel="0" collapsed="false">
      <c r="H741" s="92"/>
    </row>
    <row r="742" customFormat="false" ht="15" hidden="false" customHeight="false" outlineLevel="0" collapsed="false">
      <c r="H742" s="92"/>
    </row>
    <row r="743" customFormat="false" ht="15" hidden="false" customHeight="false" outlineLevel="0" collapsed="false">
      <c r="H743" s="92"/>
    </row>
    <row r="744" customFormat="false" ht="15" hidden="false" customHeight="false" outlineLevel="0" collapsed="false">
      <c r="H744" s="92"/>
    </row>
    <row r="745" customFormat="false" ht="15" hidden="false" customHeight="false" outlineLevel="0" collapsed="false">
      <c r="H745" s="92"/>
    </row>
    <row r="746" customFormat="false" ht="15" hidden="false" customHeight="false" outlineLevel="0" collapsed="false">
      <c r="H746" s="92"/>
    </row>
    <row r="747" customFormat="false" ht="15" hidden="false" customHeight="false" outlineLevel="0" collapsed="false">
      <c r="H747" s="92"/>
    </row>
    <row r="748" customFormat="false" ht="15" hidden="false" customHeight="false" outlineLevel="0" collapsed="false">
      <c r="H748" s="92"/>
    </row>
    <row r="749" customFormat="false" ht="15" hidden="false" customHeight="false" outlineLevel="0" collapsed="false">
      <c r="H749" s="92"/>
    </row>
    <row r="750" customFormat="false" ht="15" hidden="false" customHeight="false" outlineLevel="0" collapsed="false">
      <c r="H750" s="92"/>
    </row>
    <row r="751" customFormat="false" ht="15" hidden="false" customHeight="false" outlineLevel="0" collapsed="false">
      <c r="H751" s="92"/>
    </row>
    <row r="752" customFormat="false" ht="15" hidden="false" customHeight="false" outlineLevel="0" collapsed="false">
      <c r="H752" s="92"/>
    </row>
    <row r="753" customFormat="false" ht="15" hidden="false" customHeight="false" outlineLevel="0" collapsed="false">
      <c r="H753" s="92"/>
    </row>
    <row r="754" customFormat="false" ht="15" hidden="false" customHeight="false" outlineLevel="0" collapsed="false">
      <c r="H754" s="92"/>
    </row>
    <row r="755" customFormat="false" ht="15" hidden="false" customHeight="false" outlineLevel="0" collapsed="false">
      <c r="H755" s="92"/>
    </row>
    <row r="756" customFormat="false" ht="15" hidden="false" customHeight="false" outlineLevel="0" collapsed="false">
      <c r="H756" s="92"/>
    </row>
    <row r="757" customFormat="false" ht="15" hidden="false" customHeight="false" outlineLevel="0" collapsed="false">
      <c r="H757" s="92"/>
    </row>
    <row r="758" customFormat="false" ht="15" hidden="false" customHeight="false" outlineLevel="0" collapsed="false">
      <c r="H758" s="92"/>
    </row>
    <row r="759" customFormat="false" ht="15" hidden="false" customHeight="false" outlineLevel="0" collapsed="false">
      <c r="H759" s="92"/>
    </row>
    <row r="760" customFormat="false" ht="15" hidden="false" customHeight="false" outlineLevel="0" collapsed="false">
      <c r="H760" s="92"/>
    </row>
    <row r="761" customFormat="false" ht="15" hidden="false" customHeight="false" outlineLevel="0" collapsed="false">
      <c r="H761" s="92"/>
    </row>
    <row r="762" customFormat="false" ht="15" hidden="false" customHeight="false" outlineLevel="0" collapsed="false">
      <c r="H762" s="92"/>
    </row>
    <row r="763" customFormat="false" ht="15" hidden="false" customHeight="false" outlineLevel="0" collapsed="false">
      <c r="H763" s="92"/>
    </row>
    <row r="764" customFormat="false" ht="15" hidden="false" customHeight="false" outlineLevel="0" collapsed="false">
      <c r="H764" s="92"/>
    </row>
    <row r="765" customFormat="false" ht="15" hidden="false" customHeight="false" outlineLevel="0" collapsed="false">
      <c r="H765" s="92"/>
    </row>
    <row r="766" customFormat="false" ht="15" hidden="false" customHeight="false" outlineLevel="0" collapsed="false">
      <c r="H766" s="92"/>
    </row>
    <row r="767" customFormat="false" ht="15" hidden="false" customHeight="false" outlineLevel="0" collapsed="false">
      <c r="H767" s="92"/>
    </row>
    <row r="768" customFormat="false" ht="15" hidden="false" customHeight="false" outlineLevel="0" collapsed="false">
      <c r="H768" s="92"/>
    </row>
    <row r="769" customFormat="false" ht="15" hidden="false" customHeight="false" outlineLevel="0" collapsed="false">
      <c r="H769" s="92"/>
    </row>
    <row r="770" customFormat="false" ht="15" hidden="false" customHeight="false" outlineLevel="0" collapsed="false">
      <c r="H770" s="92"/>
    </row>
    <row r="771" customFormat="false" ht="15" hidden="false" customHeight="false" outlineLevel="0" collapsed="false">
      <c r="H771" s="92"/>
    </row>
    <row r="772" customFormat="false" ht="15" hidden="false" customHeight="false" outlineLevel="0" collapsed="false">
      <c r="H772" s="92"/>
    </row>
    <row r="773" customFormat="false" ht="15" hidden="false" customHeight="false" outlineLevel="0" collapsed="false">
      <c r="H773" s="92"/>
    </row>
    <row r="774" customFormat="false" ht="15" hidden="false" customHeight="false" outlineLevel="0" collapsed="false">
      <c r="H774" s="92"/>
    </row>
    <row r="775" customFormat="false" ht="15" hidden="false" customHeight="false" outlineLevel="0" collapsed="false">
      <c r="H775" s="92"/>
    </row>
    <row r="776" customFormat="false" ht="15" hidden="false" customHeight="false" outlineLevel="0" collapsed="false">
      <c r="H776" s="92"/>
    </row>
    <row r="777" customFormat="false" ht="15" hidden="false" customHeight="false" outlineLevel="0" collapsed="false">
      <c r="H777" s="92"/>
    </row>
    <row r="778" customFormat="false" ht="15" hidden="false" customHeight="false" outlineLevel="0" collapsed="false">
      <c r="H778" s="92"/>
    </row>
    <row r="779" customFormat="false" ht="15" hidden="false" customHeight="false" outlineLevel="0" collapsed="false">
      <c r="H779" s="92"/>
    </row>
    <row r="780" customFormat="false" ht="15" hidden="false" customHeight="false" outlineLevel="0" collapsed="false">
      <c r="H780" s="92"/>
    </row>
    <row r="781" customFormat="false" ht="15" hidden="false" customHeight="false" outlineLevel="0" collapsed="false">
      <c r="H781" s="92"/>
    </row>
    <row r="782" customFormat="false" ht="15" hidden="false" customHeight="false" outlineLevel="0" collapsed="false">
      <c r="H782" s="92"/>
    </row>
    <row r="783" customFormat="false" ht="15" hidden="false" customHeight="false" outlineLevel="0" collapsed="false">
      <c r="H783" s="92"/>
    </row>
    <row r="784" customFormat="false" ht="15" hidden="false" customHeight="false" outlineLevel="0" collapsed="false">
      <c r="H784" s="92"/>
    </row>
    <row r="785" customFormat="false" ht="15" hidden="false" customHeight="false" outlineLevel="0" collapsed="false">
      <c r="H785" s="92"/>
    </row>
    <row r="786" customFormat="false" ht="15" hidden="false" customHeight="false" outlineLevel="0" collapsed="false">
      <c r="H786" s="92"/>
    </row>
    <row r="787" customFormat="false" ht="15" hidden="false" customHeight="false" outlineLevel="0" collapsed="false">
      <c r="H787" s="92"/>
    </row>
    <row r="788" customFormat="false" ht="15" hidden="false" customHeight="false" outlineLevel="0" collapsed="false">
      <c r="H788" s="92"/>
    </row>
    <row r="789" customFormat="false" ht="15" hidden="false" customHeight="false" outlineLevel="0" collapsed="false">
      <c r="H789" s="92"/>
    </row>
    <row r="790" customFormat="false" ht="15" hidden="false" customHeight="false" outlineLevel="0" collapsed="false">
      <c r="H790" s="92"/>
    </row>
    <row r="791" customFormat="false" ht="15" hidden="false" customHeight="false" outlineLevel="0" collapsed="false">
      <c r="H791" s="92"/>
    </row>
    <row r="792" customFormat="false" ht="15" hidden="false" customHeight="false" outlineLevel="0" collapsed="false">
      <c r="H792" s="92"/>
    </row>
    <row r="793" customFormat="false" ht="15" hidden="false" customHeight="false" outlineLevel="0" collapsed="false">
      <c r="H793" s="92"/>
    </row>
    <row r="794" customFormat="false" ht="15" hidden="false" customHeight="false" outlineLevel="0" collapsed="false">
      <c r="H794" s="92"/>
    </row>
    <row r="795" customFormat="false" ht="15" hidden="false" customHeight="false" outlineLevel="0" collapsed="false">
      <c r="H795" s="92"/>
    </row>
    <row r="796" customFormat="false" ht="15" hidden="false" customHeight="false" outlineLevel="0" collapsed="false">
      <c r="H796" s="92"/>
    </row>
    <row r="797" customFormat="false" ht="15" hidden="false" customHeight="false" outlineLevel="0" collapsed="false">
      <c r="H797" s="92"/>
    </row>
    <row r="798" customFormat="false" ht="15" hidden="false" customHeight="false" outlineLevel="0" collapsed="false">
      <c r="H798" s="92"/>
    </row>
    <row r="799" customFormat="false" ht="15" hidden="false" customHeight="false" outlineLevel="0" collapsed="false">
      <c r="H799" s="92"/>
    </row>
    <row r="800" customFormat="false" ht="15" hidden="false" customHeight="false" outlineLevel="0" collapsed="false">
      <c r="H800" s="92"/>
    </row>
    <row r="801" customFormat="false" ht="15" hidden="false" customHeight="false" outlineLevel="0" collapsed="false">
      <c r="H801" s="92"/>
    </row>
    <row r="802" customFormat="false" ht="15" hidden="false" customHeight="false" outlineLevel="0" collapsed="false">
      <c r="H802" s="92"/>
    </row>
    <row r="803" customFormat="false" ht="15" hidden="false" customHeight="false" outlineLevel="0" collapsed="false">
      <c r="H803" s="92"/>
    </row>
    <row r="804" customFormat="false" ht="15" hidden="false" customHeight="false" outlineLevel="0" collapsed="false">
      <c r="H804" s="92"/>
    </row>
    <row r="805" customFormat="false" ht="15" hidden="false" customHeight="false" outlineLevel="0" collapsed="false">
      <c r="H805" s="92"/>
    </row>
    <row r="806" customFormat="false" ht="15" hidden="false" customHeight="false" outlineLevel="0" collapsed="false">
      <c r="H806" s="92"/>
    </row>
    <row r="807" customFormat="false" ht="15" hidden="false" customHeight="false" outlineLevel="0" collapsed="false">
      <c r="H807" s="92"/>
    </row>
    <row r="808" customFormat="false" ht="15" hidden="false" customHeight="false" outlineLevel="0" collapsed="false">
      <c r="H808" s="92"/>
    </row>
    <row r="809" customFormat="false" ht="15" hidden="false" customHeight="false" outlineLevel="0" collapsed="false">
      <c r="H809" s="92"/>
    </row>
    <row r="810" customFormat="false" ht="15" hidden="false" customHeight="false" outlineLevel="0" collapsed="false">
      <c r="H810" s="92"/>
    </row>
    <row r="811" customFormat="false" ht="15" hidden="false" customHeight="false" outlineLevel="0" collapsed="false">
      <c r="H811" s="92"/>
    </row>
    <row r="812" customFormat="false" ht="15" hidden="false" customHeight="false" outlineLevel="0" collapsed="false">
      <c r="H812" s="92"/>
    </row>
    <row r="813" customFormat="false" ht="15" hidden="false" customHeight="false" outlineLevel="0" collapsed="false">
      <c r="H813" s="92"/>
    </row>
    <row r="814" customFormat="false" ht="15" hidden="false" customHeight="false" outlineLevel="0" collapsed="false">
      <c r="H814" s="92"/>
    </row>
    <row r="815" customFormat="false" ht="15" hidden="false" customHeight="false" outlineLevel="0" collapsed="false">
      <c r="H815" s="92"/>
    </row>
    <row r="816" customFormat="false" ht="15" hidden="false" customHeight="false" outlineLevel="0" collapsed="false">
      <c r="H816" s="92"/>
    </row>
    <row r="817" customFormat="false" ht="15" hidden="false" customHeight="false" outlineLevel="0" collapsed="false">
      <c r="H817" s="92"/>
    </row>
    <row r="818" customFormat="false" ht="15" hidden="false" customHeight="false" outlineLevel="0" collapsed="false">
      <c r="H818" s="92"/>
    </row>
    <row r="819" customFormat="false" ht="15" hidden="false" customHeight="false" outlineLevel="0" collapsed="false">
      <c r="H819" s="92"/>
    </row>
    <row r="820" customFormat="false" ht="15" hidden="false" customHeight="false" outlineLevel="0" collapsed="false">
      <c r="H820" s="92"/>
    </row>
    <row r="821" customFormat="false" ht="15" hidden="false" customHeight="false" outlineLevel="0" collapsed="false">
      <c r="H821" s="92"/>
    </row>
    <row r="822" customFormat="false" ht="15" hidden="false" customHeight="false" outlineLevel="0" collapsed="false">
      <c r="H822" s="92"/>
    </row>
    <row r="823" customFormat="false" ht="15" hidden="false" customHeight="false" outlineLevel="0" collapsed="false">
      <c r="H823" s="92"/>
    </row>
    <row r="824" customFormat="false" ht="15" hidden="false" customHeight="false" outlineLevel="0" collapsed="false">
      <c r="H824" s="92"/>
    </row>
    <row r="825" customFormat="false" ht="15" hidden="false" customHeight="false" outlineLevel="0" collapsed="false">
      <c r="H825" s="92"/>
    </row>
    <row r="826" customFormat="false" ht="15" hidden="false" customHeight="false" outlineLevel="0" collapsed="false">
      <c r="H826" s="92"/>
    </row>
    <row r="827" customFormat="false" ht="15" hidden="false" customHeight="false" outlineLevel="0" collapsed="false">
      <c r="H827" s="92"/>
    </row>
    <row r="828" customFormat="false" ht="15" hidden="false" customHeight="false" outlineLevel="0" collapsed="false">
      <c r="H828" s="92"/>
    </row>
    <row r="829" customFormat="false" ht="15" hidden="false" customHeight="false" outlineLevel="0" collapsed="false">
      <c r="H829" s="92"/>
    </row>
    <row r="830" customFormat="false" ht="15" hidden="false" customHeight="false" outlineLevel="0" collapsed="false">
      <c r="H830" s="92"/>
    </row>
    <row r="831" customFormat="false" ht="15" hidden="false" customHeight="false" outlineLevel="0" collapsed="false">
      <c r="H831" s="92"/>
    </row>
    <row r="832" customFormat="false" ht="15" hidden="false" customHeight="false" outlineLevel="0" collapsed="false">
      <c r="H832" s="92"/>
    </row>
    <row r="833" customFormat="false" ht="15" hidden="false" customHeight="false" outlineLevel="0" collapsed="false">
      <c r="H833" s="92"/>
    </row>
    <row r="834" customFormat="false" ht="15" hidden="false" customHeight="false" outlineLevel="0" collapsed="false">
      <c r="H834" s="92"/>
    </row>
    <row r="835" customFormat="false" ht="15" hidden="false" customHeight="false" outlineLevel="0" collapsed="false">
      <c r="H835" s="92"/>
    </row>
    <row r="836" customFormat="false" ht="15" hidden="false" customHeight="false" outlineLevel="0" collapsed="false">
      <c r="H836" s="92"/>
    </row>
    <row r="837" customFormat="false" ht="15" hidden="false" customHeight="false" outlineLevel="0" collapsed="false">
      <c r="H837" s="92"/>
    </row>
    <row r="838" customFormat="false" ht="15" hidden="false" customHeight="false" outlineLevel="0" collapsed="false">
      <c r="H838" s="92"/>
    </row>
    <row r="839" customFormat="false" ht="15" hidden="false" customHeight="false" outlineLevel="0" collapsed="false">
      <c r="H839" s="92"/>
    </row>
    <row r="840" customFormat="false" ht="15" hidden="false" customHeight="false" outlineLevel="0" collapsed="false">
      <c r="H840" s="92"/>
    </row>
    <row r="841" customFormat="false" ht="15" hidden="false" customHeight="false" outlineLevel="0" collapsed="false">
      <c r="H841" s="92"/>
    </row>
    <row r="842" customFormat="false" ht="15" hidden="false" customHeight="false" outlineLevel="0" collapsed="false">
      <c r="H842" s="92"/>
    </row>
    <row r="843" customFormat="false" ht="15" hidden="false" customHeight="false" outlineLevel="0" collapsed="false">
      <c r="H843" s="92"/>
    </row>
    <row r="844" customFormat="false" ht="15" hidden="false" customHeight="false" outlineLevel="0" collapsed="false">
      <c r="H844" s="92"/>
    </row>
    <row r="845" customFormat="false" ht="15" hidden="false" customHeight="false" outlineLevel="0" collapsed="false">
      <c r="H845" s="92"/>
    </row>
    <row r="846" customFormat="false" ht="15" hidden="false" customHeight="false" outlineLevel="0" collapsed="false">
      <c r="H846" s="92"/>
    </row>
    <row r="847" customFormat="false" ht="15" hidden="false" customHeight="false" outlineLevel="0" collapsed="false">
      <c r="H847" s="92"/>
    </row>
    <row r="848" customFormat="false" ht="15" hidden="false" customHeight="false" outlineLevel="0" collapsed="false">
      <c r="H848" s="92"/>
    </row>
    <row r="849" customFormat="false" ht="15" hidden="false" customHeight="false" outlineLevel="0" collapsed="false">
      <c r="H849" s="92"/>
    </row>
    <row r="850" customFormat="false" ht="15" hidden="false" customHeight="false" outlineLevel="0" collapsed="false">
      <c r="H850" s="92"/>
    </row>
    <row r="851" customFormat="false" ht="15" hidden="false" customHeight="false" outlineLevel="0" collapsed="false">
      <c r="H851" s="92"/>
    </row>
    <row r="852" customFormat="false" ht="15" hidden="false" customHeight="false" outlineLevel="0" collapsed="false">
      <c r="H852" s="92"/>
    </row>
    <row r="853" customFormat="false" ht="15" hidden="false" customHeight="false" outlineLevel="0" collapsed="false">
      <c r="H853" s="92"/>
    </row>
    <row r="854" customFormat="false" ht="15" hidden="false" customHeight="false" outlineLevel="0" collapsed="false">
      <c r="H854" s="92"/>
    </row>
    <row r="855" customFormat="false" ht="15" hidden="false" customHeight="false" outlineLevel="0" collapsed="false">
      <c r="H855" s="92"/>
    </row>
    <row r="856" customFormat="false" ht="15" hidden="false" customHeight="false" outlineLevel="0" collapsed="false">
      <c r="H856" s="92"/>
    </row>
    <row r="857" customFormat="false" ht="15" hidden="false" customHeight="false" outlineLevel="0" collapsed="false">
      <c r="H857" s="92"/>
    </row>
    <row r="858" customFormat="false" ht="15" hidden="false" customHeight="false" outlineLevel="0" collapsed="false">
      <c r="H858" s="92"/>
    </row>
    <row r="859" customFormat="false" ht="15" hidden="false" customHeight="false" outlineLevel="0" collapsed="false">
      <c r="H859" s="92"/>
    </row>
    <row r="860" customFormat="false" ht="15" hidden="false" customHeight="false" outlineLevel="0" collapsed="false">
      <c r="H860" s="92"/>
    </row>
    <row r="861" customFormat="false" ht="15" hidden="false" customHeight="false" outlineLevel="0" collapsed="false">
      <c r="H861" s="92"/>
    </row>
    <row r="862" customFormat="false" ht="15" hidden="false" customHeight="false" outlineLevel="0" collapsed="false">
      <c r="H862" s="92"/>
    </row>
    <row r="863" customFormat="false" ht="15" hidden="false" customHeight="false" outlineLevel="0" collapsed="false">
      <c r="H863" s="92"/>
    </row>
    <row r="864" customFormat="false" ht="15" hidden="false" customHeight="false" outlineLevel="0" collapsed="false">
      <c r="H864" s="92"/>
    </row>
    <row r="865" customFormat="false" ht="15" hidden="false" customHeight="false" outlineLevel="0" collapsed="false">
      <c r="H865" s="92"/>
    </row>
    <row r="866" customFormat="false" ht="15" hidden="false" customHeight="false" outlineLevel="0" collapsed="false">
      <c r="H866" s="92"/>
    </row>
    <row r="867" customFormat="false" ht="15" hidden="false" customHeight="false" outlineLevel="0" collapsed="false">
      <c r="H867" s="92"/>
    </row>
    <row r="868" customFormat="false" ht="15" hidden="false" customHeight="false" outlineLevel="0" collapsed="false">
      <c r="H868" s="92"/>
    </row>
    <row r="869" customFormat="false" ht="15" hidden="false" customHeight="false" outlineLevel="0" collapsed="false">
      <c r="H869" s="92"/>
    </row>
    <row r="870" customFormat="false" ht="15" hidden="false" customHeight="false" outlineLevel="0" collapsed="false">
      <c r="H870" s="92"/>
    </row>
    <row r="871" customFormat="false" ht="15" hidden="false" customHeight="false" outlineLevel="0" collapsed="false">
      <c r="H871" s="92"/>
    </row>
    <row r="872" customFormat="false" ht="15" hidden="false" customHeight="false" outlineLevel="0" collapsed="false">
      <c r="H872" s="92"/>
    </row>
    <row r="873" customFormat="false" ht="15" hidden="false" customHeight="false" outlineLevel="0" collapsed="false">
      <c r="H873" s="92"/>
    </row>
    <row r="874" customFormat="false" ht="15" hidden="false" customHeight="false" outlineLevel="0" collapsed="false">
      <c r="H874" s="92"/>
    </row>
    <row r="875" customFormat="false" ht="15" hidden="false" customHeight="false" outlineLevel="0" collapsed="false">
      <c r="H875" s="92"/>
    </row>
    <row r="876" customFormat="false" ht="15" hidden="false" customHeight="false" outlineLevel="0" collapsed="false">
      <c r="H876" s="92"/>
    </row>
    <row r="877" customFormat="false" ht="15" hidden="false" customHeight="false" outlineLevel="0" collapsed="false">
      <c r="H877" s="92"/>
    </row>
    <row r="878" customFormat="false" ht="15" hidden="false" customHeight="false" outlineLevel="0" collapsed="false">
      <c r="H878" s="92"/>
    </row>
    <row r="879" customFormat="false" ht="15" hidden="false" customHeight="false" outlineLevel="0" collapsed="false">
      <c r="H879" s="92"/>
    </row>
    <row r="880" customFormat="false" ht="15" hidden="false" customHeight="false" outlineLevel="0" collapsed="false">
      <c r="H880" s="92"/>
    </row>
    <row r="881" customFormat="false" ht="15" hidden="false" customHeight="false" outlineLevel="0" collapsed="false">
      <c r="H881" s="92"/>
    </row>
    <row r="882" customFormat="false" ht="15" hidden="false" customHeight="false" outlineLevel="0" collapsed="false">
      <c r="H882" s="92"/>
    </row>
    <row r="883" customFormat="false" ht="15" hidden="false" customHeight="false" outlineLevel="0" collapsed="false">
      <c r="H883" s="92"/>
    </row>
    <row r="884" customFormat="false" ht="15" hidden="false" customHeight="false" outlineLevel="0" collapsed="false">
      <c r="H884" s="92"/>
    </row>
    <row r="885" customFormat="false" ht="15" hidden="false" customHeight="false" outlineLevel="0" collapsed="false">
      <c r="H885" s="92"/>
    </row>
    <row r="886" customFormat="false" ht="15" hidden="false" customHeight="false" outlineLevel="0" collapsed="false">
      <c r="H886" s="92"/>
    </row>
    <row r="887" customFormat="false" ht="15" hidden="false" customHeight="false" outlineLevel="0" collapsed="false">
      <c r="H887" s="92"/>
    </row>
    <row r="888" customFormat="false" ht="15" hidden="false" customHeight="false" outlineLevel="0" collapsed="false">
      <c r="H888" s="92"/>
    </row>
    <row r="889" customFormat="false" ht="15" hidden="false" customHeight="false" outlineLevel="0" collapsed="false">
      <c r="H889" s="92"/>
    </row>
    <row r="890" customFormat="false" ht="15" hidden="false" customHeight="false" outlineLevel="0" collapsed="false">
      <c r="H890" s="92"/>
    </row>
    <row r="891" customFormat="false" ht="15" hidden="false" customHeight="false" outlineLevel="0" collapsed="false">
      <c r="H891" s="92"/>
    </row>
    <row r="892" customFormat="false" ht="15" hidden="false" customHeight="false" outlineLevel="0" collapsed="false">
      <c r="H892" s="92"/>
    </row>
    <row r="893" customFormat="false" ht="15" hidden="false" customHeight="false" outlineLevel="0" collapsed="false">
      <c r="H893" s="92"/>
    </row>
    <row r="894" customFormat="false" ht="15" hidden="false" customHeight="false" outlineLevel="0" collapsed="false">
      <c r="H894" s="92"/>
    </row>
    <row r="895" customFormat="false" ht="15" hidden="false" customHeight="false" outlineLevel="0" collapsed="false">
      <c r="H895" s="92"/>
    </row>
    <row r="896" customFormat="false" ht="15" hidden="false" customHeight="false" outlineLevel="0" collapsed="false">
      <c r="H896" s="92"/>
    </row>
    <row r="897" customFormat="false" ht="15" hidden="false" customHeight="false" outlineLevel="0" collapsed="false">
      <c r="H897" s="92"/>
    </row>
    <row r="898" customFormat="false" ht="15" hidden="false" customHeight="false" outlineLevel="0" collapsed="false">
      <c r="H898" s="92"/>
    </row>
    <row r="899" customFormat="false" ht="15" hidden="false" customHeight="false" outlineLevel="0" collapsed="false">
      <c r="H899" s="92"/>
    </row>
    <row r="900" customFormat="false" ht="15" hidden="false" customHeight="false" outlineLevel="0" collapsed="false">
      <c r="H900" s="92"/>
    </row>
    <row r="901" customFormat="false" ht="15" hidden="false" customHeight="false" outlineLevel="0" collapsed="false">
      <c r="H901" s="92"/>
    </row>
    <row r="902" customFormat="false" ht="15" hidden="false" customHeight="false" outlineLevel="0" collapsed="false">
      <c r="H902" s="92"/>
    </row>
    <row r="903" customFormat="false" ht="15" hidden="false" customHeight="false" outlineLevel="0" collapsed="false">
      <c r="H903" s="92"/>
    </row>
    <row r="904" customFormat="false" ht="15" hidden="false" customHeight="false" outlineLevel="0" collapsed="false">
      <c r="H904" s="92"/>
    </row>
    <row r="905" customFormat="false" ht="15" hidden="false" customHeight="false" outlineLevel="0" collapsed="false">
      <c r="H905" s="92"/>
    </row>
    <row r="906" customFormat="false" ht="15" hidden="false" customHeight="false" outlineLevel="0" collapsed="false">
      <c r="H906" s="92"/>
    </row>
    <row r="907" customFormat="false" ht="15" hidden="false" customHeight="false" outlineLevel="0" collapsed="false">
      <c r="H907" s="92"/>
    </row>
    <row r="908" customFormat="false" ht="15" hidden="false" customHeight="false" outlineLevel="0" collapsed="false">
      <c r="H908" s="92"/>
    </row>
    <row r="909" customFormat="false" ht="15" hidden="false" customHeight="false" outlineLevel="0" collapsed="false">
      <c r="H909" s="92"/>
    </row>
    <row r="910" customFormat="false" ht="15" hidden="false" customHeight="false" outlineLevel="0" collapsed="false">
      <c r="H910" s="92"/>
    </row>
    <row r="911" customFormat="false" ht="15" hidden="false" customHeight="false" outlineLevel="0" collapsed="false">
      <c r="H911" s="92"/>
    </row>
    <row r="912" customFormat="false" ht="15" hidden="false" customHeight="false" outlineLevel="0" collapsed="false">
      <c r="H912" s="92"/>
    </row>
    <row r="913" customFormat="false" ht="15" hidden="false" customHeight="false" outlineLevel="0" collapsed="false">
      <c r="H913" s="92"/>
    </row>
    <row r="914" customFormat="false" ht="15" hidden="false" customHeight="false" outlineLevel="0" collapsed="false">
      <c r="H914" s="92"/>
    </row>
    <row r="915" customFormat="false" ht="15" hidden="false" customHeight="false" outlineLevel="0" collapsed="false">
      <c r="H915" s="92"/>
    </row>
    <row r="916" customFormat="false" ht="15" hidden="false" customHeight="false" outlineLevel="0" collapsed="false">
      <c r="H916" s="92"/>
    </row>
    <row r="917" customFormat="false" ht="15" hidden="false" customHeight="false" outlineLevel="0" collapsed="false">
      <c r="H917" s="92"/>
    </row>
    <row r="918" customFormat="false" ht="15" hidden="false" customHeight="false" outlineLevel="0" collapsed="false">
      <c r="H918" s="92"/>
    </row>
    <row r="919" customFormat="false" ht="15" hidden="false" customHeight="false" outlineLevel="0" collapsed="false">
      <c r="H919" s="92"/>
    </row>
    <row r="920" customFormat="false" ht="15" hidden="false" customHeight="false" outlineLevel="0" collapsed="false">
      <c r="H920" s="92"/>
    </row>
    <row r="921" customFormat="false" ht="15" hidden="false" customHeight="false" outlineLevel="0" collapsed="false">
      <c r="H921" s="92"/>
    </row>
    <row r="922" customFormat="false" ht="15" hidden="false" customHeight="false" outlineLevel="0" collapsed="false">
      <c r="H922" s="92"/>
    </row>
    <row r="923" customFormat="false" ht="15" hidden="false" customHeight="false" outlineLevel="0" collapsed="false">
      <c r="H923" s="92"/>
    </row>
    <row r="924" customFormat="false" ht="15" hidden="false" customHeight="false" outlineLevel="0" collapsed="false">
      <c r="H924" s="92"/>
    </row>
    <row r="925" customFormat="false" ht="15" hidden="false" customHeight="false" outlineLevel="0" collapsed="false">
      <c r="H925" s="92"/>
    </row>
    <row r="926" customFormat="false" ht="15" hidden="false" customHeight="false" outlineLevel="0" collapsed="false">
      <c r="H926" s="92"/>
    </row>
    <row r="927" customFormat="false" ht="15" hidden="false" customHeight="false" outlineLevel="0" collapsed="false">
      <c r="H927" s="92"/>
    </row>
    <row r="928" customFormat="false" ht="15" hidden="false" customHeight="false" outlineLevel="0" collapsed="false">
      <c r="H928" s="92"/>
    </row>
    <row r="929" customFormat="false" ht="15" hidden="false" customHeight="false" outlineLevel="0" collapsed="false">
      <c r="H929" s="92"/>
    </row>
    <row r="930" customFormat="false" ht="15" hidden="false" customHeight="false" outlineLevel="0" collapsed="false">
      <c r="H930" s="92"/>
    </row>
    <row r="931" customFormat="false" ht="15" hidden="false" customHeight="false" outlineLevel="0" collapsed="false">
      <c r="H931" s="92"/>
    </row>
    <row r="932" customFormat="false" ht="15" hidden="false" customHeight="false" outlineLevel="0" collapsed="false">
      <c r="H932" s="92"/>
    </row>
    <row r="933" customFormat="false" ht="15" hidden="false" customHeight="false" outlineLevel="0" collapsed="false">
      <c r="H933" s="92"/>
    </row>
    <row r="934" customFormat="false" ht="15" hidden="false" customHeight="false" outlineLevel="0" collapsed="false">
      <c r="H934" s="92"/>
    </row>
    <row r="935" customFormat="false" ht="15" hidden="false" customHeight="false" outlineLevel="0" collapsed="false">
      <c r="H935" s="92"/>
    </row>
    <row r="936" customFormat="false" ht="15" hidden="false" customHeight="false" outlineLevel="0" collapsed="false">
      <c r="H936" s="92"/>
    </row>
    <row r="937" customFormat="false" ht="15" hidden="false" customHeight="false" outlineLevel="0" collapsed="false">
      <c r="H937" s="92"/>
    </row>
    <row r="938" customFormat="false" ht="15" hidden="false" customHeight="false" outlineLevel="0" collapsed="false">
      <c r="H938" s="92"/>
    </row>
    <row r="939" customFormat="false" ht="15" hidden="false" customHeight="false" outlineLevel="0" collapsed="false">
      <c r="H939" s="92"/>
    </row>
    <row r="940" customFormat="false" ht="15" hidden="false" customHeight="false" outlineLevel="0" collapsed="false">
      <c r="H940" s="92"/>
    </row>
    <row r="941" customFormat="false" ht="15" hidden="false" customHeight="false" outlineLevel="0" collapsed="false">
      <c r="H941" s="92"/>
    </row>
    <row r="942" customFormat="false" ht="15" hidden="false" customHeight="false" outlineLevel="0" collapsed="false">
      <c r="H942" s="92"/>
    </row>
    <row r="943" customFormat="false" ht="15" hidden="false" customHeight="false" outlineLevel="0" collapsed="false">
      <c r="H943" s="92"/>
    </row>
    <row r="944" customFormat="false" ht="15" hidden="false" customHeight="false" outlineLevel="0" collapsed="false">
      <c r="H944" s="92"/>
    </row>
    <row r="945" customFormat="false" ht="15" hidden="false" customHeight="false" outlineLevel="0" collapsed="false">
      <c r="H945" s="92"/>
    </row>
    <row r="946" customFormat="false" ht="15" hidden="false" customHeight="false" outlineLevel="0" collapsed="false">
      <c r="H946" s="92"/>
    </row>
    <row r="947" customFormat="false" ht="15" hidden="false" customHeight="false" outlineLevel="0" collapsed="false">
      <c r="H947" s="92"/>
    </row>
    <row r="948" customFormat="false" ht="15" hidden="false" customHeight="false" outlineLevel="0" collapsed="false">
      <c r="H948" s="92"/>
    </row>
    <row r="949" customFormat="false" ht="15" hidden="false" customHeight="false" outlineLevel="0" collapsed="false">
      <c r="H949" s="92"/>
    </row>
    <row r="950" customFormat="false" ht="15" hidden="false" customHeight="false" outlineLevel="0" collapsed="false">
      <c r="H950" s="92"/>
    </row>
    <row r="951" customFormat="false" ht="15" hidden="false" customHeight="false" outlineLevel="0" collapsed="false">
      <c r="H951" s="92"/>
    </row>
    <row r="952" customFormat="false" ht="15" hidden="false" customHeight="false" outlineLevel="0" collapsed="false">
      <c r="H952" s="92"/>
    </row>
    <row r="953" customFormat="false" ht="15" hidden="false" customHeight="false" outlineLevel="0" collapsed="false">
      <c r="H953" s="92"/>
    </row>
    <row r="954" customFormat="false" ht="15" hidden="false" customHeight="false" outlineLevel="0" collapsed="false">
      <c r="H954" s="92"/>
    </row>
    <row r="955" customFormat="false" ht="15" hidden="false" customHeight="false" outlineLevel="0" collapsed="false">
      <c r="H955" s="92"/>
    </row>
    <row r="956" customFormat="false" ht="15" hidden="false" customHeight="false" outlineLevel="0" collapsed="false">
      <c r="H956" s="92"/>
    </row>
    <row r="957" customFormat="false" ht="15" hidden="false" customHeight="false" outlineLevel="0" collapsed="false">
      <c r="H957" s="92"/>
    </row>
    <row r="958" customFormat="false" ht="15" hidden="false" customHeight="false" outlineLevel="0" collapsed="false">
      <c r="H958" s="92"/>
    </row>
    <row r="959" customFormat="false" ht="15" hidden="false" customHeight="false" outlineLevel="0" collapsed="false">
      <c r="H959" s="92"/>
    </row>
    <row r="960" customFormat="false" ht="15" hidden="false" customHeight="false" outlineLevel="0" collapsed="false">
      <c r="H960" s="92"/>
    </row>
    <row r="961" customFormat="false" ht="15" hidden="false" customHeight="false" outlineLevel="0" collapsed="false">
      <c r="H961" s="92"/>
    </row>
    <row r="962" customFormat="false" ht="15" hidden="false" customHeight="false" outlineLevel="0" collapsed="false">
      <c r="H962" s="92"/>
    </row>
    <row r="963" customFormat="false" ht="15" hidden="false" customHeight="false" outlineLevel="0" collapsed="false">
      <c r="H963" s="92"/>
    </row>
    <row r="964" customFormat="false" ht="15" hidden="false" customHeight="false" outlineLevel="0" collapsed="false">
      <c r="H964" s="92"/>
    </row>
    <row r="965" customFormat="false" ht="15" hidden="false" customHeight="false" outlineLevel="0" collapsed="false">
      <c r="H965" s="92"/>
    </row>
    <row r="966" customFormat="false" ht="15" hidden="false" customHeight="false" outlineLevel="0" collapsed="false">
      <c r="H966" s="92"/>
    </row>
    <row r="967" customFormat="false" ht="15" hidden="false" customHeight="false" outlineLevel="0" collapsed="false">
      <c r="H967" s="92"/>
    </row>
    <row r="968" customFormat="false" ht="15" hidden="false" customHeight="false" outlineLevel="0" collapsed="false">
      <c r="H968" s="92"/>
    </row>
    <row r="969" customFormat="false" ht="15" hidden="false" customHeight="false" outlineLevel="0" collapsed="false">
      <c r="H969" s="92"/>
    </row>
    <row r="970" customFormat="false" ht="15" hidden="false" customHeight="false" outlineLevel="0" collapsed="false">
      <c r="H970" s="92"/>
    </row>
    <row r="971" customFormat="false" ht="15" hidden="false" customHeight="false" outlineLevel="0" collapsed="false">
      <c r="H971" s="92"/>
    </row>
    <row r="972" customFormat="false" ht="15" hidden="false" customHeight="false" outlineLevel="0" collapsed="false">
      <c r="H972" s="92"/>
    </row>
    <row r="973" customFormat="false" ht="15" hidden="false" customHeight="false" outlineLevel="0" collapsed="false">
      <c r="H973" s="92"/>
    </row>
    <row r="974" customFormat="false" ht="15" hidden="false" customHeight="false" outlineLevel="0" collapsed="false">
      <c r="H974" s="92"/>
    </row>
    <row r="975" customFormat="false" ht="15" hidden="false" customHeight="false" outlineLevel="0" collapsed="false">
      <c r="H975" s="92"/>
    </row>
    <row r="976" customFormat="false" ht="15" hidden="false" customHeight="false" outlineLevel="0" collapsed="false">
      <c r="H976" s="92"/>
    </row>
    <row r="977" customFormat="false" ht="15" hidden="false" customHeight="false" outlineLevel="0" collapsed="false">
      <c r="H977" s="92"/>
    </row>
    <row r="978" customFormat="false" ht="15" hidden="false" customHeight="false" outlineLevel="0" collapsed="false">
      <c r="H978" s="92"/>
    </row>
    <row r="979" customFormat="false" ht="15" hidden="false" customHeight="false" outlineLevel="0" collapsed="false">
      <c r="H979" s="92"/>
    </row>
    <row r="980" customFormat="false" ht="15" hidden="false" customHeight="false" outlineLevel="0" collapsed="false">
      <c r="H980" s="92"/>
    </row>
    <row r="981" customFormat="false" ht="15" hidden="false" customHeight="false" outlineLevel="0" collapsed="false">
      <c r="H981" s="92"/>
    </row>
    <row r="982" customFormat="false" ht="15" hidden="false" customHeight="false" outlineLevel="0" collapsed="false">
      <c r="H982" s="92"/>
    </row>
    <row r="983" customFormat="false" ht="15" hidden="false" customHeight="false" outlineLevel="0" collapsed="false">
      <c r="H983" s="92"/>
    </row>
    <row r="984" customFormat="false" ht="15" hidden="false" customHeight="false" outlineLevel="0" collapsed="false">
      <c r="H984" s="92"/>
    </row>
    <row r="985" customFormat="false" ht="15" hidden="false" customHeight="false" outlineLevel="0" collapsed="false">
      <c r="H985" s="92"/>
    </row>
    <row r="986" customFormat="false" ht="15" hidden="false" customHeight="false" outlineLevel="0" collapsed="false">
      <c r="H986" s="92"/>
    </row>
    <row r="987" customFormat="false" ht="15" hidden="false" customHeight="false" outlineLevel="0" collapsed="false">
      <c r="H987" s="92"/>
    </row>
    <row r="988" customFormat="false" ht="15" hidden="false" customHeight="false" outlineLevel="0" collapsed="false">
      <c r="H988" s="92"/>
    </row>
    <row r="989" customFormat="false" ht="15" hidden="false" customHeight="false" outlineLevel="0" collapsed="false">
      <c r="H989" s="92"/>
    </row>
    <row r="990" customFormat="false" ht="15" hidden="false" customHeight="false" outlineLevel="0" collapsed="false">
      <c r="H990" s="92"/>
    </row>
    <row r="991" customFormat="false" ht="15" hidden="false" customHeight="false" outlineLevel="0" collapsed="false">
      <c r="H991" s="92"/>
    </row>
    <row r="992" customFormat="false" ht="15" hidden="false" customHeight="false" outlineLevel="0" collapsed="false">
      <c r="H992" s="92"/>
    </row>
    <row r="993" customFormat="false" ht="15" hidden="false" customHeight="false" outlineLevel="0" collapsed="false">
      <c r="H993" s="92"/>
    </row>
    <row r="994" customFormat="false" ht="15" hidden="false" customHeight="false" outlineLevel="0" collapsed="false">
      <c r="H994" s="92"/>
    </row>
    <row r="995" customFormat="false" ht="15" hidden="false" customHeight="false" outlineLevel="0" collapsed="false">
      <c r="H995" s="92"/>
    </row>
    <row r="996" customFormat="false" ht="15" hidden="false" customHeight="false" outlineLevel="0" collapsed="false">
      <c r="H996" s="92"/>
    </row>
    <row r="997" customFormat="false" ht="15" hidden="false" customHeight="false" outlineLevel="0" collapsed="false">
      <c r="H997" s="92"/>
    </row>
    <row r="998" customFormat="false" ht="15" hidden="false" customHeight="false" outlineLevel="0" collapsed="false">
      <c r="H998" s="92"/>
    </row>
    <row r="999" customFormat="false" ht="15" hidden="false" customHeight="false" outlineLevel="0" collapsed="false">
      <c r="H999" s="92"/>
    </row>
    <row r="1000" customFormat="false" ht="15" hidden="false" customHeight="false" outlineLevel="0" collapsed="false">
      <c r="H1000" s="92"/>
    </row>
    <row r="1001" customFormat="false" ht="15" hidden="false" customHeight="false" outlineLevel="0" collapsed="false">
      <c r="H1001" s="92"/>
    </row>
    <row r="1002" customFormat="false" ht="15" hidden="false" customHeight="false" outlineLevel="0" collapsed="false">
      <c r="H1002" s="92"/>
    </row>
    <row r="1003" customFormat="false" ht="15" hidden="false" customHeight="false" outlineLevel="0" collapsed="false">
      <c r="H1003" s="92"/>
    </row>
    <row r="1004" customFormat="false" ht="15" hidden="false" customHeight="false" outlineLevel="0" collapsed="false">
      <c r="H1004" s="92"/>
    </row>
    <row r="1005" customFormat="false" ht="15" hidden="false" customHeight="false" outlineLevel="0" collapsed="false">
      <c r="H1005" s="92"/>
    </row>
    <row r="1006" customFormat="false" ht="15" hidden="false" customHeight="false" outlineLevel="0" collapsed="false">
      <c r="H1006" s="92"/>
    </row>
    <row r="1007" customFormat="false" ht="15" hidden="false" customHeight="false" outlineLevel="0" collapsed="false">
      <c r="H1007" s="92"/>
    </row>
    <row r="1008" customFormat="false" ht="15" hidden="false" customHeight="false" outlineLevel="0" collapsed="false">
      <c r="H1008" s="92"/>
    </row>
    <row r="1009" customFormat="false" ht="15" hidden="false" customHeight="false" outlineLevel="0" collapsed="false">
      <c r="H1009" s="92"/>
    </row>
    <row r="1010" customFormat="false" ht="15" hidden="false" customHeight="false" outlineLevel="0" collapsed="false">
      <c r="H1010" s="92"/>
    </row>
    <row r="1011" customFormat="false" ht="15" hidden="false" customHeight="false" outlineLevel="0" collapsed="false">
      <c r="H1011" s="92"/>
    </row>
    <row r="1012" customFormat="false" ht="15" hidden="false" customHeight="false" outlineLevel="0" collapsed="false">
      <c r="H1012" s="92"/>
    </row>
    <row r="1013" customFormat="false" ht="15" hidden="false" customHeight="false" outlineLevel="0" collapsed="false">
      <c r="H1013" s="92"/>
    </row>
    <row r="1014" customFormat="false" ht="15" hidden="false" customHeight="false" outlineLevel="0" collapsed="false">
      <c r="H1014" s="92"/>
    </row>
    <row r="1015" customFormat="false" ht="15" hidden="false" customHeight="false" outlineLevel="0" collapsed="false">
      <c r="H1015" s="92"/>
    </row>
    <row r="1016" customFormat="false" ht="15" hidden="false" customHeight="false" outlineLevel="0" collapsed="false">
      <c r="H1016" s="92"/>
    </row>
    <row r="1017" customFormat="false" ht="15" hidden="false" customHeight="false" outlineLevel="0" collapsed="false">
      <c r="H1017" s="92"/>
    </row>
    <row r="1018" customFormat="false" ht="15" hidden="false" customHeight="false" outlineLevel="0" collapsed="false">
      <c r="H1018" s="92"/>
    </row>
    <row r="1019" customFormat="false" ht="15" hidden="false" customHeight="false" outlineLevel="0" collapsed="false">
      <c r="H1019" s="92"/>
    </row>
    <row r="1020" customFormat="false" ht="15" hidden="false" customHeight="false" outlineLevel="0" collapsed="false">
      <c r="H1020" s="92"/>
    </row>
    <row r="1021" customFormat="false" ht="15" hidden="false" customHeight="false" outlineLevel="0" collapsed="false">
      <c r="H1021" s="92"/>
    </row>
    <row r="1022" customFormat="false" ht="15" hidden="false" customHeight="false" outlineLevel="0" collapsed="false">
      <c r="H1022" s="92"/>
    </row>
    <row r="1023" customFormat="false" ht="15" hidden="false" customHeight="false" outlineLevel="0" collapsed="false">
      <c r="H1023" s="92"/>
    </row>
    <row r="1024" customFormat="false" ht="15" hidden="false" customHeight="false" outlineLevel="0" collapsed="false">
      <c r="H1024" s="92"/>
    </row>
    <row r="1025" customFormat="false" ht="15" hidden="false" customHeight="false" outlineLevel="0" collapsed="false">
      <c r="H1025" s="92"/>
    </row>
    <row r="1026" customFormat="false" ht="15" hidden="false" customHeight="false" outlineLevel="0" collapsed="false">
      <c r="H1026" s="92"/>
    </row>
    <row r="1027" customFormat="false" ht="15" hidden="false" customHeight="false" outlineLevel="0" collapsed="false">
      <c r="H1027" s="92"/>
    </row>
    <row r="1028" customFormat="false" ht="15" hidden="false" customHeight="false" outlineLevel="0" collapsed="false">
      <c r="H1028" s="92"/>
    </row>
    <row r="1029" customFormat="false" ht="15" hidden="false" customHeight="false" outlineLevel="0" collapsed="false">
      <c r="H1029" s="92"/>
    </row>
    <row r="1030" customFormat="false" ht="15" hidden="false" customHeight="false" outlineLevel="0" collapsed="false">
      <c r="H1030" s="92"/>
    </row>
    <row r="1031" customFormat="false" ht="15" hidden="false" customHeight="false" outlineLevel="0" collapsed="false">
      <c r="H1031" s="92"/>
    </row>
    <row r="1032" customFormat="false" ht="15" hidden="false" customHeight="false" outlineLevel="0" collapsed="false">
      <c r="H1032" s="92"/>
    </row>
    <row r="1033" customFormat="false" ht="15" hidden="false" customHeight="false" outlineLevel="0" collapsed="false">
      <c r="H1033" s="92"/>
    </row>
    <row r="1034" customFormat="false" ht="15" hidden="false" customHeight="false" outlineLevel="0" collapsed="false">
      <c r="H1034" s="9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3" name="Schaltfläche 1">
              <controlPr defaultSize="0" print="true" autoFill="0" autoPict="0" macro="Module1.total">
                <anchor moveWithCells="true" sizeWithCells="false">
                  <from>
                    <xdr:col>0</xdr:col>
                    <xdr:colOff>62640</xdr:colOff>
                    <xdr:row>10</xdr:row>
                    <xdr:rowOff>63720</xdr:rowOff>
                  </from>
                  <to>
                    <xdr:col>1</xdr:col>
                    <xdr:colOff>656640</xdr:colOff>
                    <xdr:row>11</xdr:row>
                    <xdr:rowOff>139680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4" name="Schaltfläche 2">
              <controlPr defaultSize="0" print="true" autoFill="0" autoPict="0" macro="Module1.partial">
                <anchor moveWithCells="true" sizeWithCells="false">
                  <from>
                    <xdr:col>0</xdr:col>
                    <xdr:colOff>56880</xdr:colOff>
                    <xdr:row>2</xdr:row>
                    <xdr:rowOff>74160</xdr:rowOff>
                  </from>
                  <to>
                    <xdr:col>1</xdr:col>
                    <xdr:colOff>651240</xdr:colOff>
                    <xdr:row>3</xdr:row>
                    <xdr:rowOff>171720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5" name="Schaltfläche 3">
              <controlPr defaultSize="0" print="true" autoFill="0" autoPict="0" macro="Module1.partial_min">
                <anchor moveWithCells="true" sizeWithCells="false">
                  <from>
                    <xdr:col>0</xdr:col>
                    <xdr:colOff>62640</xdr:colOff>
                    <xdr:row>6</xdr:row>
                    <xdr:rowOff>61920</xdr:rowOff>
                  </from>
                  <to>
                    <xdr:col>1</xdr:col>
                    <xdr:colOff>594360</xdr:colOff>
                    <xdr:row>7</xdr:row>
                    <xdr:rowOff>158040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34"/>
  <sheetViews>
    <sheetView showFormulas="false" showGridLines="true" showRowColHeaders="true" showZeros="true" rightToLeft="false" tabSelected="false" showOutlineSymbols="true" defaultGridColor="true" view="normal" topLeftCell="B34" colorId="64" zoomScale="100" zoomScaleNormal="100" zoomScalePageLayoutView="100" workbookViewId="0">
      <selection pane="topLeft" activeCell="P28" activeCellId="0" sqref="P28"/>
    </sheetView>
  </sheetViews>
  <sheetFormatPr defaultColWidth="9.625" defaultRowHeight="15" zeroHeight="false" outlineLevelRow="0" outlineLevelCol="0"/>
  <cols>
    <col collapsed="false" customWidth="true" hidden="false" outlineLevel="0" max="1" min="1" style="0" width="10.72"/>
    <col collapsed="false" customWidth="true" hidden="false" outlineLevel="0" max="2" min="2" style="0" width="10.35"/>
    <col collapsed="false" customWidth="true" hidden="false" outlineLevel="0" max="3" min="3" style="0" width="8.41"/>
    <col collapsed="false" customWidth="true" hidden="false" outlineLevel="0" max="4" min="4" style="12" width="6.58"/>
    <col collapsed="false" customWidth="true" hidden="false" outlineLevel="0" max="5" min="5" style="12" width="7.07"/>
    <col collapsed="false" customWidth="true" hidden="false" outlineLevel="0" max="6" min="6" style="12" width="6.21"/>
    <col collapsed="false" customWidth="true" hidden="false" outlineLevel="0" max="7" min="7" style="59" width="8.16"/>
    <col collapsed="false" customWidth="true" hidden="false" outlineLevel="0" max="8" min="8" style="78" width="7.43"/>
    <col collapsed="false" customWidth="true" hidden="false" outlineLevel="0" max="9" min="9" style="95" width="11.21"/>
    <col collapsed="false" customWidth="true" hidden="false" outlineLevel="0" max="10" min="10" style="25" width="11.08"/>
    <col collapsed="false" customWidth="true" hidden="false" outlineLevel="0" max="11" min="11" style="10" width="7.43"/>
    <col collapsed="false" customWidth="true" hidden="false" outlineLevel="0" max="12" min="12" style="18" width="12.31"/>
    <col collapsed="false" customWidth="true" hidden="false" outlineLevel="0" max="13" min="13" style="96" width="8.53"/>
    <col collapsed="false" customWidth="true" hidden="false" outlineLevel="0" max="14" min="14" style="0" width="9.13"/>
    <col collapsed="false" customWidth="false" hidden="false" outlineLevel="0" max="18" min="16" style="12" width="9.63"/>
    <col collapsed="false" customWidth="true" hidden="false" outlineLevel="0" max="19" min="19" style="12" width="8.29"/>
  </cols>
  <sheetData>
    <row r="1" customFormat="false" ht="15" hidden="false" customHeight="false" outlineLevel="0" collapsed="false">
      <c r="A1" s="60" t="str">
        <f aca="false">calc!$C$1</f>
        <v>UT</v>
      </c>
      <c r="B1" s="60" t="str">
        <f aca="false">input!$C$1</f>
        <v>Month</v>
      </c>
      <c r="C1" s="60" t="str">
        <f aca="false">input!$D$1</f>
        <v>Year</v>
      </c>
      <c r="D1" s="55" t="str">
        <f aca="false">'sol ecl'!$D$1</f>
        <v>Date</v>
      </c>
      <c r="E1" s="55" t="str">
        <f aca="false">'sol ecl'!$E$1</f>
        <v>Month</v>
      </c>
      <c r="F1" s="55" t="str">
        <f aca="false">'sol ecl'!$F$1</f>
        <v>Day</v>
      </c>
      <c r="G1" s="61" t="str">
        <f aca="false">'sol ecl'!$G$1</f>
        <v>Lm</v>
      </c>
      <c r="H1" s="80" t="str">
        <f aca="false">'sol ecl'!$H$1</f>
        <v>Lsun</v>
      </c>
      <c r="I1" s="79" t="s">
        <v>102</v>
      </c>
      <c r="J1" s="43" t="s">
        <v>103</v>
      </c>
      <c r="K1" s="40" t="str">
        <f aca="false">'sol ecl'!$I$1</f>
        <v>Bm</v>
      </c>
      <c r="L1" s="37" t="s">
        <v>104</v>
      </c>
      <c r="M1" s="96" t="s">
        <v>105</v>
      </c>
      <c r="N1" s="55" t="s">
        <v>84</v>
      </c>
      <c r="P1" s="55" t="s">
        <v>106</v>
      </c>
      <c r="Q1" s="55" t="s">
        <v>107</v>
      </c>
      <c r="R1" s="55" t="s">
        <v>60</v>
      </c>
      <c r="S1" s="55" t="s">
        <v>61</v>
      </c>
    </row>
    <row r="2" customFormat="false" ht="15" hidden="false" customHeight="false" outlineLevel="0" collapsed="false">
      <c r="A2" s="81" t="n">
        <f aca="false">'sol ecl'!$A$2</f>
        <v>0</v>
      </c>
      <c r="B2" s="92" t="n">
        <f aca="false">'sol ecl'!$B$2</f>
        <v>10</v>
      </c>
      <c r="C2" s="92" t="n">
        <f aca="false">'sol ecl'!$C$2</f>
        <v>2022</v>
      </c>
      <c r="D2" s="12" t="n">
        <f aca="false">'sol ecl'!$D$2</f>
        <v>1</v>
      </c>
      <c r="E2" s="17" t="n">
        <f aca="false">'sol ecl'!$E$2</f>
        <v>10</v>
      </c>
      <c r="F2" s="73" t="n">
        <f aca="false">'sol ecl'!$F$2</f>
        <v>1</v>
      </c>
      <c r="G2" s="71" t="n">
        <f aca="false">'sol ecl'!$G$2</f>
        <v>251.57947639492</v>
      </c>
      <c r="H2" s="78" t="n">
        <f aca="false">'sol ecl'!$H$2</f>
        <v>189.717563811462</v>
      </c>
      <c r="I2" s="95" t="n">
        <f aca="false">ABS(H2-180)-G2</f>
        <v>-241.861912583458</v>
      </c>
      <c r="J2" s="25" t="str">
        <f aca="false">IF(ABS(I2)/$C$14&lt;1,I2/$C$14,"")</f>
        <v/>
      </c>
      <c r="K2" s="10" t="n">
        <f aca="false">'sol ecl'!$I$2</f>
        <v>-2.4308103329961</v>
      </c>
      <c r="L2" s="18" t="str">
        <f aca="false">IF(ABS(K2)/$C$13&lt;1,K2/$C$13,"")</f>
        <v/>
      </c>
      <c r="M2" s="96" t="str">
        <f aca="false">IF(OR(J2="",L2=""),"",ABS(J2)+ABS(L2))</f>
        <v/>
      </c>
      <c r="N2" s="10" t="n">
        <f aca="false">10*K2</f>
        <v>-24.308103329961</v>
      </c>
      <c r="P2" s="37" t="n">
        <f aca="false">1.2*COS(H2*PI()/180)</f>
        <v>-1.18278212756827</v>
      </c>
      <c r="Q2" s="18" t="n">
        <f aca="false">1.2*SIN(H2*PI()/180)</f>
        <v>-0.202549842520491</v>
      </c>
      <c r="R2" s="18" t="n">
        <f aca="false">COS(G2*PI()/180)</f>
        <v>-0.315988908330502</v>
      </c>
      <c r="S2" s="18" t="n">
        <f aca="false">SIN(G2*PI()/180)</f>
        <v>-0.948762883871464</v>
      </c>
    </row>
    <row r="3" customFormat="false" ht="15" hidden="false" customHeight="false" outlineLevel="0" collapsed="false">
      <c r="C3" s="8" t="str">
        <f aca="false">'elev az illum'!$E$3</f>
        <v>common year</v>
      </c>
      <c r="D3" s="12" t="n">
        <f aca="false">'sol ecl'!$D$3</f>
        <v>2</v>
      </c>
      <c r="E3" s="17" t="n">
        <f aca="false">'sol ecl'!$E$3</f>
        <v>10</v>
      </c>
      <c r="F3" s="97" t="n">
        <f aca="false">'sol ecl'!$F$3</f>
        <v>2</v>
      </c>
      <c r="G3" s="71" t="n">
        <f aca="false">'sol ecl'!$G$3</f>
        <v>265.573057657448</v>
      </c>
      <c r="H3" s="78" t="n">
        <f aca="false">'sol ecl'!$H$3</f>
        <v>190.703211175343</v>
      </c>
      <c r="I3" s="95" t="n">
        <f aca="false">ABS(H3-180)-G3</f>
        <v>-254.869846482105</v>
      </c>
      <c r="J3" s="25" t="str">
        <f aca="false">IF(ABS(I3)/$C$14&lt;1,I3/$C$14,"")</f>
        <v/>
      </c>
      <c r="K3" s="10" t="n">
        <f aca="false">'sol ecl'!$I$3</f>
        <v>-3.47241943770793</v>
      </c>
      <c r="L3" s="18" t="str">
        <f aca="false">IF(ABS(K3)/$C$13&lt;1,K3/$C$13,"")</f>
        <v/>
      </c>
      <c r="M3" s="96" t="str">
        <f aca="false">IF(OR(J3="",L3=""),"",ABS(J3)+ABS(L3))</f>
        <v/>
      </c>
      <c r="N3" s="10" t="n">
        <f aca="false">10*K3</f>
        <v>-34.7241943770793</v>
      </c>
      <c r="P3" s="0"/>
      <c r="Q3" s="0"/>
      <c r="R3" s="18" t="n">
        <f aca="false">COS(G3*PI()/180)</f>
        <v>-0.0771878663213257</v>
      </c>
      <c r="S3" s="18" t="n">
        <f aca="false">SIN(G3*PI()/180)</f>
        <v>-0.997016566207784</v>
      </c>
    </row>
    <row r="4" customFormat="false" ht="15" hidden="false" customHeight="false" outlineLevel="0" collapsed="false">
      <c r="A4" s="98"/>
      <c r="D4" s="12" t="n">
        <f aca="false">'sol ecl'!$D$4</f>
        <v>3</v>
      </c>
      <c r="E4" s="17" t="n">
        <f aca="false">'sol ecl'!$E$4</f>
        <v>10</v>
      </c>
      <c r="F4" s="12" t="n">
        <f aca="false">'sol ecl'!$F$4</f>
        <v>3</v>
      </c>
      <c r="G4" s="71" t="n">
        <f aca="false">'sol ecl'!$G$4</f>
        <v>279.674030475907</v>
      </c>
      <c r="H4" s="78" t="n">
        <f aca="false">'sol ecl'!$H$4</f>
        <v>191.688858539224</v>
      </c>
      <c r="I4" s="95" t="n">
        <f aca="false">ABS(H4-180)-G4</f>
        <v>-267.985171936682</v>
      </c>
      <c r="J4" s="25" t="str">
        <f aca="false">IF(ABS(I4)/$C$14&lt;1,I4/$C$14,"")</f>
        <v/>
      </c>
      <c r="K4" s="10" t="n">
        <f aca="false">'sol ecl'!$I$4</f>
        <v>-4.31189163161484</v>
      </c>
      <c r="L4" s="18" t="str">
        <f aca="false">IF(ABS(K4)/$C$13&lt;1,K4/$C$13,"")</f>
        <v/>
      </c>
      <c r="M4" s="96" t="str">
        <f aca="false">IF(OR(J4="",L4=""),"",ABS(J4)+ABS(L4))</f>
        <v/>
      </c>
      <c r="N4" s="10" t="n">
        <f aca="false">10*K4</f>
        <v>-43.1189163161484</v>
      </c>
      <c r="P4" s="0"/>
      <c r="Q4" s="0"/>
      <c r="R4" s="18" t="n">
        <f aca="false">COS(G4*PI()/180)</f>
        <v>0.1680425885281</v>
      </c>
      <c r="S4" s="18" t="n">
        <f aca="false">SIN(G4*PI()/180)</f>
        <v>-0.985779736270114</v>
      </c>
    </row>
    <row r="5" customFormat="false" ht="15" hidden="false" customHeight="false" outlineLevel="0" collapsed="false">
      <c r="A5" s="12" t="s">
        <v>89</v>
      </c>
      <c r="B5" s="12" t="s">
        <v>108</v>
      </c>
      <c r="C5" s="90" t="n">
        <f aca="false">1+4/60</f>
        <v>1.06666666666667</v>
      </c>
      <c r="D5" s="12" t="n">
        <f aca="false">'sol ecl'!$D$5</f>
        <v>4</v>
      </c>
      <c r="E5" s="17" t="n">
        <f aca="false">'sol ecl'!$E$5</f>
        <v>10</v>
      </c>
      <c r="F5" s="12" t="n">
        <f aca="false">'sol ecl'!$F$5</f>
        <v>4</v>
      </c>
      <c r="G5" s="71" t="n">
        <f aca="false">'sol ecl'!$G$5</f>
        <v>293.862769751099</v>
      </c>
      <c r="H5" s="78" t="n">
        <f aca="false">'sol ecl'!$H$5</f>
        <v>192.674505903105</v>
      </c>
      <c r="I5" s="95" t="n">
        <f aca="false">ABS(H5-180)-G5</f>
        <v>-281.188263847994</v>
      </c>
      <c r="J5" s="25" t="str">
        <f aca="false">IF(ABS(I5)/$C$14&lt;1,I5/$C$14,"")</f>
        <v/>
      </c>
      <c r="K5" s="10" t="n">
        <f aca="false">'sol ecl'!$I$5</f>
        <v>-4.89345979091708</v>
      </c>
      <c r="L5" s="18" t="str">
        <f aca="false">IF(ABS(K5)/$C$13&lt;1,K5/$C$13,"")</f>
        <v/>
      </c>
      <c r="M5" s="96" t="str">
        <f aca="false">IF(OR(J5="",L5=""),"",ABS(J5)+ABS(L5))</f>
        <v/>
      </c>
      <c r="N5" s="10" t="n">
        <f aca="false">10*K5</f>
        <v>-48.9345979091708</v>
      </c>
      <c r="P5" s="0"/>
      <c r="Q5" s="0"/>
      <c r="R5" s="18" t="n">
        <f aca="false">COS(G5*PI()/180)</f>
        <v>0.404547427824874</v>
      </c>
      <c r="S5" s="18" t="n">
        <f aca="false">SIN(G5*PI()/180)</f>
        <v>-0.914517019327841</v>
      </c>
    </row>
    <row r="6" customFormat="false" ht="15" hidden="false" customHeight="false" outlineLevel="0" collapsed="false">
      <c r="A6" s="91" t="s">
        <v>109</v>
      </c>
      <c r="B6" s="12" t="s">
        <v>110</v>
      </c>
      <c r="C6" s="90" t="n">
        <f aca="false">11+30/60</f>
        <v>11.5</v>
      </c>
      <c r="D6" s="12" t="n">
        <f aca="false">'sol ecl'!$D$6</f>
        <v>5</v>
      </c>
      <c r="E6" s="17" t="n">
        <f aca="false">'sol ecl'!$E$6</f>
        <v>10</v>
      </c>
      <c r="F6" s="12" t="n">
        <f aca="false">'sol ecl'!$F$6</f>
        <v>5</v>
      </c>
      <c r="G6" s="71" t="n">
        <f aca="false">'sol ecl'!$G$6</f>
        <v>308.110821229503</v>
      </c>
      <c r="H6" s="78" t="n">
        <f aca="false">'sol ecl'!$H$6</f>
        <v>193.660153266988</v>
      </c>
      <c r="I6" s="95" t="n">
        <f aca="false">ABS(H6-180)-G6</f>
        <v>-294.450667962515</v>
      </c>
      <c r="J6" s="25" t="str">
        <f aca="false">IF(ABS(I6)/$C$14&lt;1,I6/$C$14,"")</f>
        <v/>
      </c>
      <c r="K6" s="10" t="n">
        <f aca="false">'sol ecl'!$I$6</f>
        <v>-5.17731046224389</v>
      </c>
      <c r="L6" s="18" t="str">
        <f aca="false">IF(ABS(K6)/$C$13&lt;1,K6/$C$13,"")</f>
        <v/>
      </c>
      <c r="M6" s="96" t="str">
        <f aca="false">IF(OR(J6="",L6=""),"",ABS(J6)+ABS(L6))</f>
        <v/>
      </c>
      <c r="N6" s="10" t="n">
        <f aca="false">10*K6</f>
        <v>-51.7731046224389</v>
      </c>
      <c r="P6" s="0"/>
      <c r="Q6" s="0"/>
      <c r="R6" s="18" t="n">
        <f aca="false">COS(G6*PI()/180)</f>
        <v>0.617184489470827</v>
      </c>
      <c r="S6" s="18" t="n">
        <f aca="false">SIN(G6*PI()/180)</f>
        <v>-0.786818470777495</v>
      </c>
    </row>
    <row r="7" customFormat="false" ht="15" hidden="false" customHeight="false" outlineLevel="0" collapsed="false">
      <c r="D7" s="12" t="n">
        <f aca="false">'sol ecl'!$D$7</f>
        <v>6</v>
      </c>
      <c r="E7" s="17" t="n">
        <f aca="false">'sol ecl'!$E$7</f>
        <v>10</v>
      </c>
      <c r="F7" s="12" t="n">
        <f aca="false">'sol ecl'!$F$7</f>
        <v>6</v>
      </c>
      <c r="G7" s="71" t="n">
        <f aca="false">'sol ecl'!$G$7</f>
        <v>322.375354520684</v>
      </c>
      <c r="H7" s="78" t="n">
        <f aca="false">'sol ecl'!$H$7</f>
        <v>194.645800630871</v>
      </c>
      <c r="I7" s="95" t="n">
        <f aca="false">ABS(H7-180)-G7</f>
        <v>-307.729553889813</v>
      </c>
      <c r="J7" s="25" t="str">
        <f aca="false">IF(ABS(I7)/$C$14&lt;1,I7/$C$14,"")</f>
        <v/>
      </c>
      <c r="K7" s="10" t="n">
        <f aca="false">'sol ecl'!$I$7</f>
        <v>-5.14340962238135</v>
      </c>
      <c r="L7" s="18" t="str">
        <f aca="false">IF(ABS(K7)/$C$13&lt;1,K7/$C$13,"")</f>
        <v/>
      </c>
      <c r="M7" s="96" t="str">
        <f aca="false">IF(OR(J7="",L7=""),"",ABS(J7)+ABS(L7))</f>
        <v/>
      </c>
      <c r="N7" s="10" t="n">
        <f aca="false">10*K7</f>
        <v>-51.4340962238135</v>
      </c>
      <c r="P7" s="37" t="n">
        <f aca="false">1.2*COS(H7*PI()/180)</f>
        <v>-1.16100883702075</v>
      </c>
      <c r="Q7" s="18" t="n">
        <f aca="false">1.2*SIN(H7*PI()/180)</f>
        <v>-0.303411404465498</v>
      </c>
      <c r="R7" s="18" t="n">
        <f aca="false">COS(G7*PI()/180)</f>
        <v>0.792027119321819</v>
      </c>
      <c r="S7" s="18" t="n">
        <f aca="false">SIN(G7*PI()/180)</f>
        <v>-0.610485906683178</v>
      </c>
    </row>
    <row r="8" customFormat="false" ht="15" hidden="false" customHeight="false" outlineLevel="0" collapsed="false">
      <c r="A8" s="98"/>
      <c r="D8" s="12" t="n">
        <f aca="false">'sol ecl'!$D$8</f>
        <v>7</v>
      </c>
      <c r="E8" s="17" t="n">
        <f aca="false">'sol ecl'!$E$8</f>
        <v>10</v>
      </c>
      <c r="F8" s="12" t="n">
        <f aca="false">'sol ecl'!$F$8</f>
        <v>7</v>
      </c>
      <c r="G8" s="71" t="n">
        <f aca="false">'sol ecl'!$G$8</f>
        <v>336.597293033886</v>
      </c>
      <c r="H8" s="78" t="n">
        <f aca="false">'sol ecl'!$H$8</f>
        <v>195.631447994752</v>
      </c>
      <c r="I8" s="95" t="n">
        <f aca="false">ABS(H8-180)-G8</f>
        <v>-320.965845039134</v>
      </c>
      <c r="J8" s="25" t="str">
        <f aca="false">IF(ABS(I8)/$C$14&lt;1,I8/$C$14,"")</f>
        <v/>
      </c>
      <c r="K8" s="10" t="n">
        <f aca="false">'sol ecl'!$I$8</f>
        <v>-4.79457675224573</v>
      </c>
      <c r="L8" s="18" t="str">
        <f aca="false">IF(ABS(K8)/$C$13&lt;1,K8/$C$13,"")</f>
        <v/>
      </c>
      <c r="M8" s="96" t="str">
        <f aca="false">IF(OR(J8="",L8=""),"",ABS(J8)+ABS(L8))</f>
        <v/>
      </c>
      <c r="N8" s="10" t="n">
        <f aca="false">10*K8</f>
        <v>-47.9457675224573</v>
      </c>
      <c r="P8" s="0"/>
      <c r="Q8" s="0"/>
      <c r="R8" s="18" t="n">
        <f aca="false">COS(G8*PI()/180)</f>
        <v>0.917735861220393</v>
      </c>
      <c r="S8" s="18" t="n">
        <f aca="false">SIN(G8*PI()/180)</f>
        <v>-0.397191249941465</v>
      </c>
    </row>
    <row r="9" customFormat="false" ht="15" hidden="false" customHeight="false" outlineLevel="0" collapsed="false">
      <c r="A9" s="12" t="s">
        <v>89</v>
      </c>
      <c r="B9" s="12" t="s">
        <v>111</v>
      </c>
      <c r="C9" s="12" t="n">
        <v>0.498</v>
      </c>
      <c r="D9" s="12" t="n">
        <f aca="false">'sol ecl'!$D$9</f>
        <v>8</v>
      </c>
      <c r="E9" s="17" t="n">
        <f aca="false">'sol ecl'!$E$9</f>
        <v>10</v>
      </c>
      <c r="F9" s="12" t="n">
        <f aca="false">'sol ecl'!$F$9</f>
        <v>8</v>
      </c>
      <c r="G9" s="71" t="n">
        <f aca="false">'sol ecl'!$G$9</f>
        <v>350.704675265324</v>
      </c>
      <c r="H9" s="78" t="n">
        <f aca="false">'sol ecl'!$H$9</f>
        <v>196.617095358637</v>
      </c>
      <c r="I9" s="95" t="n">
        <f aca="false">ABS(H9-180)-G9</f>
        <v>-334.087579906687</v>
      </c>
      <c r="J9" s="25" t="str">
        <f aca="false">IF(ABS(I9)/$C$14&lt;1,I9/$C$14,"")</f>
        <v/>
      </c>
      <c r="K9" s="10" t="n">
        <f aca="false">'sol ecl'!$I$9</f>
        <v>-4.15761074534745</v>
      </c>
      <c r="L9" s="18" t="str">
        <f aca="false">IF(ABS(K9)/$C$13&lt;1,K9/$C$13,"")</f>
        <v/>
      </c>
      <c r="M9" s="96" t="str">
        <f aca="false">IF(OR(J9="",L9=""),"",ABS(J9)+ABS(L9))</f>
        <v/>
      </c>
      <c r="N9" s="10" t="n">
        <f aca="false">10*K9</f>
        <v>-41.5761074534745</v>
      </c>
      <c r="P9" s="0"/>
      <c r="Q9" s="0"/>
      <c r="R9" s="18" t="n">
        <f aca="false">COS(G9*PI()/180)</f>
        <v>0.986868899794936</v>
      </c>
      <c r="S9" s="18" t="n">
        <f aca="false">SIN(G9*PI()/180)</f>
        <v>-0.161523294349557</v>
      </c>
    </row>
    <row r="10" customFormat="false" ht="15" hidden="false" customHeight="false" outlineLevel="0" collapsed="false">
      <c r="A10" s="91" t="s">
        <v>109</v>
      </c>
      <c r="B10" s="12" t="s">
        <v>112</v>
      </c>
      <c r="C10" s="12" t="n">
        <v>5.38</v>
      </c>
      <c r="D10" s="12" t="n">
        <f aca="false">'sol ecl'!$D$10</f>
        <v>9</v>
      </c>
      <c r="E10" s="17" t="n">
        <f aca="false">'sol ecl'!$E$10</f>
        <v>10</v>
      </c>
      <c r="F10" s="12" t="n">
        <f aca="false">'sol ecl'!$F$10</f>
        <v>9</v>
      </c>
      <c r="G10" s="71" t="n">
        <f aca="false">'sol ecl'!$G$10</f>
        <v>4.62106919314135</v>
      </c>
      <c r="H10" s="78" t="n">
        <f aca="false">'sol ecl'!$H$10</f>
        <v>197.60274272252</v>
      </c>
      <c r="I10" s="95" t="n">
        <f aca="false">ABS(H10-180)-G10</f>
        <v>12.9816735293786</v>
      </c>
      <c r="J10" s="25" t="str">
        <f aca="false">IF(ABS(I10)/$C$14&lt;1,I10/$C$14,"")</f>
        <v/>
      </c>
      <c r="K10" s="10" t="n">
        <f aca="false">'sol ecl'!$I$10</f>
        <v>-3.2811565888454</v>
      </c>
      <c r="L10" s="18" t="str">
        <f aca="false">IF(ABS(K10)/$C$13&lt;1,K10/$C$13,"")</f>
        <v/>
      </c>
      <c r="M10" s="96" t="str">
        <f aca="false">IF(OR(J10="",L10=""),"",ABS(J10)+ABS(L10))</f>
        <v/>
      </c>
      <c r="N10" s="10" t="n">
        <f aca="false">10*K10</f>
        <v>-32.811565888454</v>
      </c>
      <c r="P10" s="0"/>
      <c r="Q10" s="0"/>
      <c r="R10" s="18" t="n">
        <f aca="false">COS(G10*PI()/180)</f>
        <v>0.996749319770112</v>
      </c>
      <c r="S10" s="18" t="n">
        <f aca="false">SIN(G10*PI()/180)</f>
        <v>0.0805654611965952</v>
      </c>
    </row>
    <row r="11" customFormat="false" ht="15" hidden="false" customHeight="false" outlineLevel="0" collapsed="false">
      <c r="D11" s="12" t="n">
        <f aca="false">'sol ecl'!$D$11</f>
        <v>10</v>
      </c>
      <c r="E11" s="17" t="n">
        <f aca="false">'sol ecl'!$E$11</f>
        <v>10</v>
      </c>
      <c r="F11" s="12" t="n">
        <f aca="false">'sol ecl'!$F$11</f>
        <v>10</v>
      </c>
      <c r="G11" s="71" t="n">
        <f aca="false">'sol ecl'!$G$11</f>
        <v>18.277105227762</v>
      </c>
      <c r="H11" s="78" t="n">
        <f aca="false">'sol ecl'!$H$11</f>
        <v>198.588390086406</v>
      </c>
      <c r="I11" s="95" t="n">
        <f aca="false">ABS(H11-180)-G11</f>
        <v>0.311284858644449</v>
      </c>
      <c r="J11" s="25" t="n">
        <f aca="false">IF(ABS(I11)/$C$14&lt;1,I11/$C$14,"")</f>
        <v>0.0578596391532432</v>
      </c>
      <c r="K11" s="10" t="n">
        <f aca="false">'sol ecl'!$I$11</f>
        <v>-2.22990818457164</v>
      </c>
      <c r="L11" s="18" t="str">
        <f aca="false">IF(ABS(K11)/$C$13&lt;1,K11/$C$13,"")</f>
        <v/>
      </c>
      <c r="M11" s="96" t="str">
        <f aca="false">IF(OR(J11="",L11=""),"",ABS(J11)+ABS(L11))</f>
        <v/>
      </c>
      <c r="N11" s="10" t="n">
        <f aca="false">10*K11</f>
        <v>-22.2990818457164</v>
      </c>
      <c r="P11" s="0"/>
      <c r="Q11" s="0"/>
      <c r="R11" s="18" t="n">
        <f aca="false">COS(G11*PI()/180)</f>
        <v>0.949550869821273</v>
      </c>
      <c r="S11" s="18" t="n">
        <f aca="false">SIN(G11*PI()/180)</f>
        <v>0.313613050783389</v>
      </c>
    </row>
    <row r="12" customFormat="false" ht="15" hidden="false" customHeight="false" outlineLevel="0" collapsed="false">
      <c r="B12" s="60" t="s">
        <v>113</v>
      </c>
      <c r="C12" s="58" t="s">
        <v>114</v>
      </c>
      <c r="D12" s="12" t="n">
        <f aca="false">'sol ecl'!$D$12</f>
        <v>11</v>
      </c>
      <c r="E12" s="17" t="n">
        <f aca="false">'sol ecl'!$E$12</f>
        <v>10</v>
      </c>
      <c r="F12" s="12" t="n">
        <f aca="false">'sol ecl'!$F$12</f>
        <v>11</v>
      </c>
      <c r="G12" s="71" t="n">
        <f aca="false">'sol ecl'!$G$12</f>
        <v>31.6220685573485</v>
      </c>
      <c r="H12" s="78" t="n">
        <f aca="false">'sol ecl'!$H$12</f>
        <v>199.574037450289</v>
      </c>
      <c r="I12" s="95" t="n">
        <f aca="false">ABS(H12-180)-G12</f>
        <v>-12.0480311070592</v>
      </c>
      <c r="J12" s="25" t="str">
        <f aca="false">IF(ABS(I12)/$C$14&lt;1,I12/$C$14,"")</f>
        <v/>
      </c>
      <c r="K12" s="10" t="n">
        <f aca="false">'sol ecl'!$I$12</f>
        <v>-1.0762440743104</v>
      </c>
      <c r="L12" s="18" t="str">
        <f aca="false">IF(ABS(K12)/$C$13&lt;1,K12/$C$13,"")</f>
        <v/>
      </c>
      <c r="M12" s="96" t="str">
        <f aca="false">IF(OR(J12="",L12=""),"",ABS(J12)+ABS(L12))</f>
        <v/>
      </c>
      <c r="N12" s="10" t="n">
        <f aca="false">10*K12</f>
        <v>-10.762440743104</v>
      </c>
      <c r="P12" s="37" t="n">
        <f aca="false">1.2*COS(H12*PI()/180)</f>
        <v>-1.13065123187837</v>
      </c>
      <c r="Q12" s="18" t="n">
        <f aca="false">1.2*SIN(H12*PI()/180)</f>
        <v>-0.402029590766565</v>
      </c>
      <c r="R12" s="18" t="n">
        <f aca="false">COS(G12*PI()/180)</f>
        <v>0.85152504784845</v>
      </c>
      <c r="S12" s="18" t="n">
        <f aca="false">SIN(G12*PI()/180)</f>
        <v>0.524313925894302</v>
      </c>
    </row>
    <row r="13" customFormat="false" ht="15" hidden="false" customHeight="false" outlineLevel="0" collapsed="false">
      <c r="B13" s="58" t="s">
        <v>89</v>
      </c>
      <c r="C13" s="92" t="n">
        <v>0.498</v>
      </c>
      <c r="D13" s="12" t="n">
        <f aca="false">'sol ecl'!$D$13</f>
        <v>12</v>
      </c>
      <c r="E13" s="17" t="n">
        <f aca="false">'sol ecl'!$E$13</f>
        <v>10</v>
      </c>
      <c r="F13" s="12" t="n">
        <f aca="false">'sol ecl'!$F$13</f>
        <v>12</v>
      </c>
      <c r="G13" s="71" t="n">
        <f aca="false">'sol ecl'!$G$13</f>
        <v>44.6324228596143</v>
      </c>
      <c r="H13" s="78" t="n">
        <f aca="false">'sol ecl'!$H$13</f>
        <v>200.559684814176</v>
      </c>
      <c r="I13" s="95" t="n">
        <f aca="false">ABS(H13-180)-G13</f>
        <v>-24.0727380454385</v>
      </c>
      <c r="J13" s="25" t="str">
        <f aca="false">IF(ABS(I13)/$C$14&lt;1,I13/$C$14,"")</f>
        <v/>
      </c>
      <c r="K13" s="10" t="n">
        <f aca="false">'sol ecl'!$I$13</f>
        <v>0.108459902262384</v>
      </c>
      <c r="L13" s="18" t="n">
        <f aca="false">IF(ABS(K13)/$C$13&lt;1,K13/$C$13,"")</f>
        <v>0.217790968398361</v>
      </c>
      <c r="M13" s="96" t="str">
        <f aca="false">IF(OR(J13="",L13=""),"",ABS(J13)+ABS(L13))</f>
        <v/>
      </c>
      <c r="N13" s="10" t="n">
        <f aca="false">10*K13</f>
        <v>1.08459902262384</v>
      </c>
      <c r="P13" s="0"/>
      <c r="Q13" s="0"/>
      <c r="R13" s="18" t="n">
        <f aca="false">COS(G13*PI()/180)</f>
        <v>0.711628593668348</v>
      </c>
      <c r="S13" s="18" t="n">
        <f aca="false">SIN(G13*PI()/180)</f>
        <v>0.702555865873746</v>
      </c>
    </row>
    <row r="14" customFormat="false" ht="15" hidden="false" customHeight="false" outlineLevel="0" collapsed="false">
      <c r="B14" s="99" t="s">
        <v>109</v>
      </c>
      <c r="C14" s="72" t="n">
        <v>5.38</v>
      </c>
      <c r="D14" s="12" t="n">
        <f aca="false">'sol ecl'!$D$14</f>
        <v>13</v>
      </c>
      <c r="E14" s="17" t="n">
        <f aca="false">'sol ecl'!$E$14</f>
        <v>10</v>
      </c>
      <c r="F14" s="12" t="n">
        <f aca="false">'sol ecl'!$F$14</f>
        <v>13</v>
      </c>
      <c r="G14" s="71" t="n">
        <f aca="false">'sol ecl'!$G$14</f>
        <v>57.3151452053725</v>
      </c>
      <c r="H14" s="78" t="n">
        <f aca="false">'sol ecl'!$H$14</f>
        <v>201.545332178061</v>
      </c>
      <c r="I14" s="95" t="n">
        <f aca="false">ABS(H14-180)-G14</f>
        <v>-35.769813027312</v>
      </c>
      <c r="J14" s="25" t="str">
        <f aca="false">IF(ABS(I14)/$C$14&lt;1,I14/$C$14,"")</f>
        <v/>
      </c>
      <c r="K14" s="10" t="n">
        <f aca="false">'sol ecl'!$I$14</f>
        <v>1.26054652737502</v>
      </c>
      <c r="L14" s="18" t="str">
        <f aca="false">IF(ABS(K14)/$C$13&lt;1,K14/$C$13,"")</f>
        <v/>
      </c>
      <c r="M14" s="96" t="str">
        <f aca="false">IF(OR(J14="",L14=""),"",ABS(J14)+ABS(L14))</f>
        <v/>
      </c>
      <c r="N14" s="10" t="n">
        <f aca="false">10*K14</f>
        <v>12.6054652737502</v>
      </c>
      <c r="P14" s="0"/>
      <c r="Q14" s="0"/>
      <c r="R14" s="18" t="n">
        <f aca="false">COS(G14*PI()/180)</f>
        <v>0.540017861948048</v>
      </c>
      <c r="S14" s="18" t="n">
        <f aca="false">SIN(G14*PI()/180)</f>
        <v>0.841653556267102</v>
      </c>
    </row>
    <row r="15" customFormat="false" ht="15" hidden="false" customHeight="false" outlineLevel="0" collapsed="false">
      <c r="D15" s="12" t="n">
        <f aca="false">'sol ecl'!$D$15</f>
        <v>14</v>
      </c>
      <c r="E15" s="17" t="n">
        <f aca="false">'sol ecl'!$E$15</f>
        <v>10</v>
      </c>
      <c r="F15" s="12" t="n">
        <f aca="false">'sol ecl'!$F$15</f>
        <v>14</v>
      </c>
      <c r="G15" s="71" t="n">
        <f aca="false">'sol ecl'!$G$15</f>
        <v>69.705445719407</v>
      </c>
      <c r="H15" s="78" t="n">
        <f aca="false">'sol ecl'!$H$15</f>
        <v>202.530979541949</v>
      </c>
      <c r="I15" s="95" t="n">
        <f aca="false">ABS(H15-180)-G15</f>
        <v>-47.1744661774581</v>
      </c>
      <c r="J15" s="25" t="str">
        <f aca="false">IF(ABS(I15)/$C$14&lt;1,I15/$C$14,"")</f>
        <v/>
      </c>
      <c r="K15" s="10" t="n">
        <f aca="false">'sol ecl'!$I$15</f>
        <v>2.32754385636861</v>
      </c>
      <c r="L15" s="18" t="str">
        <f aca="false">IF(ABS(K15)/$C$13&lt;1,K15/$C$13,"")</f>
        <v/>
      </c>
      <c r="M15" s="96" t="str">
        <f aca="false">IF(OR(J15="",L15=""),"",ABS(J15)+ABS(L15))</f>
        <v/>
      </c>
      <c r="N15" s="10" t="n">
        <f aca="false">10*K15</f>
        <v>23.2754385636861</v>
      </c>
      <c r="P15" s="0"/>
      <c r="Q15" s="0"/>
      <c r="R15" s="18" t="n">
        <f aca="false">COS(G15*PI()/180)</f>
        <v>0.34684650766433</v>
      </c>
      <c r="S15" s="18" t="n">
        <f aca="false">SIN(G15*PI()/180)</f>
        <v>0.937921905129131</v>
      </c>
    </row>
    <row r="16" customFormat="false" ht="15" hidden="false" customHeight="false" outlineLevel="0" collapsed="false">
      <c r="D16" s="12" t="n">
        <f aca="false">'sol ecl'!$D$16</f>
        <v>15</v>
      </c>
      <c r="E16" s="17" t="n">
        <f aca="false">'sol ecl'!$E$16</f>
        <v>10</v>
      </c>
      <c r="F16" s="12" t="n">
        <f aca="false">'sol ecl'!$F$16</f>
        <v>15</v>
      </c>
      <c r="G16" s="71" t="n">
        <f aca="false">'sol ecl'!$G$16</f>
        <v>81.8601784336473</v>
      </c>
      <c r="H16" s="78" t="n">
        <f aca="false">'sol ecl'!$H$16</f>
        <v>203.516626905834</v>
      </c>
      <c r="I16" s="95" t="n">
        <f aca="false">ABS(H16-180)-G16</f>
        <v>-58.3435515278136</v>
      </c>
      <c r="J16" s="25" t="str">
        <f aca="false">IF(ABS(I16)/$C$14&lt;1,I16/$C$14,"")</f>
        <v/>
      </c>
      <c r="K16" s="10" t="n">
        <f aca="false">'sol ecl'!$I$16</f>
        <v>3.26848842353458</v>
      </c>
      <c r="L16" s="18" t="str">
        <f aca="false">IF(ABS(K16)/$C$13&lt;1,K16/$C$13,"")</f>
        <v/>
      </c>
      <c r="M16" s="96" t="str">
        <f aca="false">IF(OR(J16="",L16=""),"",ABS(J16)+ABS(L16))</f>
        <v/>
      </c>
      <c r="N16" s="10" t="n">
        <f aca="false">10*K16</f>
        <v>32.6848842353458</v>
      </c>
      <c r="P16" s="0"/>
      <c r="Q16" s="0"/>
      <c r="R16" s="18" t="n">
        <f aca="false">COS(G16*PI()/180)</f>
        <v>0.141589281565291</v>
      </c>
      <c r="S16" s="18" t="n">
        <f aca="false">SIN(G16*PI()/180)</f>
        <v>0.989925489794977</v>
      </c>
    </row>
    <row r="17" customFormat="false" ht="15" hidden="false" customHeight="false" outlineLevel="0" collapsed="false">
      <c r="D17" s="12" t="n">
        <f aca="false">'sol ecl'!$D$17</f>
        <v>16</v>
      </c>
      <c r="E17" s="17" t="n">
        <f aca="false">'sol ecl'!$E$17</f>
        <v>10</v>
      </c>
      <c r="F17" s="12" t="n">
        <f aca="false">'sol ecl'!$F$17</f>
        <v>16</v>
      </c>
      <c r="G17" s="71" t="n">
        <f aca="false">'sol ecl'!$G$17</f>
        <v>93.8493767731956</v>
      </c>
      <c r="H17" s="78" t="n">
        <f aca="false">'sol ecl'!$H$17</f>
        <v>204.50227426972</v>
      </c>
      <c r="I17" s="95" t="n">
        <f aca="false">ABS(H17-180)-G17</f>
        <v>-69.3471025034754</v>
      </c>
      <c r="J17" s="25" t="str">
        <f aca="false">IF(ABS(I17)/$C$14&lt;1,I17/$C$14,"")</f>
        <v/>
      </c>
      <c r="K17" s="10" t="n">
        <f aca="false">'sol ecl'!$I$17</f>
        <v>4.05219005303252</v>
      </c>
      <c r="L17" s="18" t="str">
        <f aca="false">IF(ABS(K17)/$C$13&lt;1,K17/$C$13,"")</f>
        <v/>
      </c>
      <c r="M17" s="96" t="str">
        <f aca="false">IF(OR(J17="",L17=""),"",ABS(J17)+ABS(L17))</f>
        <v/>
      </c>
      <c r="N17" s="10" t="n">
        <f aca="false">10*K17</f>
        <v>40.5219005303252</v>
      </c>
      <c r="P17" s="37" t="n">
        <f aca="false">1.2*COS(H17*PI()/180)</f>
        <v>-1.0919337714428</v>
      </c>
      <c r="Q17" s="18" t="n">
        <f aca="false">1.2*SIN(H17*PI()/180)</f>
        <v>-0.497675234246901</v>
      </c>
      <c r="R17" s="18" t="n">
        <f aca="false">COS(G17*PI()/180)</f>
        <v>-0.0671337682831466</v>
      </c>
      <c r="S17" s="18" t="n">
        <f aca="false">SIN(G17*PI()/180)</f>
        <v>0.997743983773445</v>
      </c>
    </row>
    <row r="18" customFormat="false" ht="15" hidden="false" customHeight="false" outlineLevel="0" collapsed="false">
      <c r="D18" s="12" t="n">
        <f aca="false">'sol ecl'!$D$18</f>
        <v>17</v>
      </c>
      <c r="E18" s="17" t="n">
        <f aca="false">'sol ecl'!$E$18</f>
        <v>10</v>
      </c>
      <c r="F18" s="12" t="n">
        <f aca="false">'sol ecl'!$F$18</f>
        <v>17</v>
      </c>
      <c r="G18" s="71" t="n">
        <f aca="false">'sol ecl'!$G$18</f>
        <v>105.748480137638</v>
      </c>
      <c r="H18" s="78" t="n">
        <f aca="false">'sol ecl'!$H$18</f>
        <v>205.487921633607</v>
      </c>
      <c r="I18" s="95" t="n">
        <f aca="false">ABS(H18-180)-G18</f>
        <v>-80.2605585040309</v>
      </c>
      <c r="J18" s="25" t="str">
        <f aca="false">IF(ABS(I18)/$C$14&lt;1,I18/$C$14,"")</f>
        <v/>
      </c>
      <c r="K18" s="10" t="n">
        <f aca="false">'sol ecl'!$I$18</f>
        <v>4.65476392803579</v>
      </c>
      <c r="L18" s="18" t="str">
        <f aca="false">IF(ABS(K18)/$C$13&lt;1,K18/$C$13,"")</f>
        <v/>
      </c>
      <c r="M18" s="96" t="str">
        <f aca="false">IF(OR(J18="",L18=""),"",ABS(J18)+ABS(L18))</f>
        <v/>
      </c>
      <c r="N18" s="10" t="n">
        <f aca="false">10*K18</f>
        <v>46.5476392803579</v>
      </c>
      <c r="P18" s="0"/>
      <c r="Q18" s="0"/>
      <c r="R18" s="18" t="n">
        <f aca="false">COS(G18*PI()/180)</f>
        <v>-0.27141491910219</v>
      </c>
      <c r="S18" s="18" t="n">
        <f aca="false">SIN(G18*PI()/180)</f>
        <v>0.962462436507915</v>
      </c>
    </row>
    <row r="19" customFormat="false" ht="15" hidden="false" customHeight="false" outlineLevel="0" collapsed="false">
      <c r="D19" s="12" t="n">
        <f aca="false">'sol ecl'!$D$19</f>
        <v>18</v>
      </c>
      <c r="E19" s="17" t="n">
        <f aca="false">'sol ecl'!$E$19</f>
        <v>10</v>
      </c>
      <c r="F19" s="12" t="n">
        <f aca="false">'sol ecl'!$F$19</f>
        <v>18</v>
      </c>
      <c r="G19" s="71" t="n">
        <f aca="false">'sol ecl'!$G$19</f>
        <v>117.632975062265</v>
      </c>
      <c r="H19" s="78" t="n">
        <f aca="false">'sol ecl'!$H$19</f>
        <v>206.473568997493</v>
      </c>
      <c r="I19" s="95" t="n">
        <f aca="false">ABS(H19-180)-G19</f>
        <v>-91.159406064772</v>
      </c>
      <c r="J19" s="25" t="str">
        <f aca="false">IF(ABS(I19)/$C$14&lt;1,I19/$C$14,"")</f>
        <v/>
      </c>
      <c r="K19" s="10" t="n">
        <f aca="false">'sol ecl'!$I$19</f>
        <v>5.05742708445702</v>
      </c>
      <c r="L19" s="18" t="str">
        <f aca="false">IF(ABS(K19)/$C$13&lt;1,K19/$C$13,"")</f>
        <v/>
      </c>
      <c r="M19" s="96" t="str">
        <f aca="false">IF(OR(J19="",L19=""),"",ABS(J19)+ABS(L19))</f>
        <v/>
      </c>
      <c r="N19" s="10" t="n">
        <f aca="false">10*K19</f>
        <v>50.5742708445702</v>
      </c>
      <c r="P19" s="0"/>
      <c r="Q19" s="0"/>
      <c r="R19" s="18" t="n">
        <f aca="false">COS(G19*PI()/180)</f>
        <v>-0.463805989267313</v>
      </c>
      <c r="S19" s="18" t="n">
        <f aca="false">SIN(G19*PI()/180)</f>
        <v>0.885936794765727</v>
      </c>
    </row>
    <row r="20" customFormat="false" ht="15" hidden="false" customHeight="false" outlineLevel="0" collapsed="false">
      <c r="D20" s="12" t="n">
        <f aca="false">'sol ecl'!$D$20</f>
        <v>19</v>
      </c>
      <c r="E20" s="17" t="n">
        <f aca="false">'sol ecl'!$E$20</f>
        <v>10</v>
      </c>
      <c r="F20" s="12" t="n">
        <f aca="false">'sol ecl'!$F$20</f>
        <v>19</v>
      </c>
      <c r="G20" s="71" t="n">
        <f aca="false">'sol ecl'!$G$20</f>
        <v>129.575763040524</v>
      </c>
      <c r="H20" s="78" t="n">
        <f aca="false">'sol ecl'!$H$20</f>
        <v>207.459216361383</v>
      </c>
      <c r="I20" s="95" t="n">
        <f aca="false">ABS(H20-180)-G20</f>
        <v>-102.116546679141</v>
      </c>
      <c r="J20" s="25" t="str">
        <f aca="false">IF(ABS(I20)/$C$14&lt;1,I20/$C$14,"")</f>
        <v/>
      </c>
      <c r="K20" s="10" t="n">
        <f aca="false">'sol ecl'!$I$20</f>
        <v>5.24506577133416</v>
      </c>
      <c r="L20" s="18" t="str">
        <f aca="false">IF(ABS(K20)/$C$13&lt;1,K20/$C$13,"")</f>
        <v/>
      </c>
      <c r="M20" s="96" t="str">
        <f aca="false">IF(OR(J20="",L20=""),"",ABS(J20)+ABS(L20))</f>
        <v/>
      </c>
      <c r="N20" s="10" t="n">
        <f aca="false">10*K20</f>
        <v>52.4506577133416</v>
      </c>
      <c r="P20" s="0"/>
      <c r="Q20" s="0"/>
      <c r="R20" s="18" t="n">
        <f aca="false">COS(G20*PI()/180)</f>
        <v>-0.637097994265842</v>
      </c>
      <c r="S20" s="18" t="n">
        <f aca="false">SIN(G20*PI()/180)</f>
        <v>0.770782813574902</v>
      </c>
    </row>
    <row r="21" customFormat="false" ht="15" hidden="false" customHeight="false" outlineLevel="0" collapsed="false">
      <c r="D21" s="12" t="n">
        <f aca="false">'sol ecl'!$D$21</f>
        <v>20</v>
      </c>
      <c r="E21" s="17" t="n">
        <f aca="false">'sol ecl'!$E$21</f>
        <v>10</v>
      </c>
      <c r="F21" s="12" t="n">
        <f aca="false">'sol ecl'!$F$21</f>
        <v>20</v>
      </c>
      <c r="G21" s="71" t="n">
        <f aca="false">'sol ecl'!$G$21</f>
        <v>141.646210018675</v>
      </c>
      <c r="H21" s="78" t="n">
        <f aca="false">'sol ecl'!$H$21</f>
        <v>208.444863725274</v>
      </c>
      <c r="I21" s="95" t="n">
        <f aca="false">ABS(H21-180)-G21</f>
        <v>-113.201346293401</v>
      </c>
      <c r="J21" s="25" t="str">
        <f aca="false">IF(ABS(I21)/$C$14&lt;1,I21/$C$14,"")</f>
        <v/>
      </c>
      <c r="K21" s="10" t="n">
        <f aca="false">'sol ecl'!$I$21</f>
        <v>5.20576197949573</v>
      </c>
      <c r="L21" s="18" t="str">
        <f aca="false">IF(ABS(K21)/$C$13&lt;1,K21/$C$13,"")</f>
        <v/>
      </c>
      <c r="M21" s="96" t="str">
        <f aca="false">IF(OR(J21="",L21=""),"",ABS(J21)+ABS(L21))</f>
        <v/>
      </c>
      <c r="N21" s="10" t="n">
        <f aca="false">10*K21</f>
        <v>52.0576197949573</v>
      </c>
      <c r="P21" s="0"/>
      <c r="Q21" s="0"/>
      <c r="R21" s="18" t="n">
        <f aca="false">COS(G21*PI()/180)</f>
        <v>-0.784194168614856</v>
      </c>
      <c r="S21" s="18" t="n">
        <f aca="false">SIN(G21*PI()/180)</f>
        <v>0.62051551625278</v>
      </c>
    </row>
    <row r="22" customFormat="false" ht="15" hidden="false" customHeight="false" outlineLevel="0" collapsed="false">
      <c r="D22" s="12" t="n">
        <f aca="false">'sol ecl'!$D$22</f>
        <v>21</v>
      </c>
      <c r="E22" s="17" t="n">
        <f aca="false">'sol ecl'!$E$22</f>
        <v>10</v>
      </c>
      <c r="F22" s="12" t="n">
        <f aca="false">'sol ecl'!$F$22</f>
        <v>21</v>
      </c>
      <c r="G22" s="71" t="n">
        <f aca="false">'sol ecl'!$G$22</f>
        <v>153.909107844903</v>
      </c>
      <c r="H22" s="78" t="n">
        <f aca="false">'sol ecl'!$H$22</f>
        <v>209.430511089164</v>
      </c>
      <c r="I22" s="95" t="n">
        <f aca="false">ABS(H22-180)-G22</f>
        <v>-124.478596755739</v>
      </c>
      <c r="J22" s="25" t="str">
        <f aca="false">IF(ABS(I22)/$C$14&lt;1,I22/$C$14,"")</f>
        <v/>
      </c>
      <c r="K22" s="10" t="n">
        <f aca="false">'sol ecl'!$I$22</f>
        <v>4.93141294976467</v>
      </c>
      <c r="L22" s="18" t="str">
        <f aca="false">IF(ABS(K22)/$C$13&lt;1,K22/$C$13,"")</f>
        <v/>
      </c>
      <c r="M22" s="96" t="str">
        <f aca="false">IF(OR(J22="",L22=""),"",ABS(J22)+ABS(L22))</f>
        <v/>
      </c>
      <c r="N22" s="10" t="n">
        <f aca="false">10*K22</f>
        <v>49.3141294976467</v>
      </c>
      <c r="P22" s="37" t="n">
        <f aca="false">1.2*COS(H22*PI()/180)</f>
        <v>-1.04514272645551</v>
      </c>
      <c r="Q22" s="18" t="n">
        <f aca="false">1.2*SIN(H22*PI()/180)</f>
        <v>-0.589641146238246</v>
      </c>
      <c r="R22" s="18" t="n">
        <f aca="false">COS(G22*PI()/180)</f>
        <v>-0.898097497972349</v>
      </c>
      <c r="S22" s="18" t="n">
        <f aca="false">SIN(G22*PI()/180)</f>
        <v>0.439796412145218</v>
      </c>
    </row>
    <row r="23" customFormat="false" ht="15" hidden="false" customHeight="false" outlineLevel="0" collapsed="false">
      <c r="D23" s="12" t="n">
        <f aca="false">'sol ecl'!$D$23</f>
        <v>22</v>
      </c>
      <c r="E23" s="17" t="n">
        <f aca="false">'sol ecl'!$E$23</f>
        <v>10</v>
      </c>
      <c r="F23" s="12" t="n">
        <f aca="false">'sol ecl'!$F$23</f>
        <v>22</v>
      </c>
      <c r="G23" s="71" t="n">
        <f aca="false">'sol ecl'!$G$23</f>
        <v>166.421980366643</v>
      </c>
      <c r="H23" s="78" t="n">
        <f aca="false">'sol ecl'!$H$23</f>
        <v>210.416158453054</v>
      </c>
      <c r="I23" s="95" t="n">
        <f aca="false">ABS(H23-180)-G23</f>
        <v>-136.005821913589</v>
      </c>
      <c r="J23" s="25" t="str">
        <f aca="false">IF(ABS(I23)/$C$14&lt;1,I23/$C$14,"")</f>
        <v/>
      </c>
      <c r="K23" s="10" t="n">
        <f aca="false">'sol ecl'!$I$23</f>
        <v>4.41963138857495</v>
      </c>
      <c r="L23" s="18" t="str">
        <f aca="false">IF(ABS(K23)/$C$13&lt;1,K23/$C$13,"")</f>
        <v/>
      </c>
      <c r="M23" s="96" t="str">
        <f aca="false">IF(OR(J23="",L23=""),"",ABS(J23)+ABS(L23))</f>
        <v/>
      </c>
      <c r="N23" s="10" t="n">
        <f aca="false">10*K23</f>
        <v>44.1963138857495</v>
      </c>
      <c r="P23" s="0"/>
      <c r="Q23" s="0"/>
      <c r="R23" s="18" t="n">
        <f aca="false">COS(G23*PI()/180)</f>
        <v>-0.972051136568173</v>
      </c>
      <c r="S23" s="18" t="n">
        <f aca="false">SIN(G23*PI()/180)</f>
        <v>0.234769222634748</v>
      </c>
    </row>
    <row r="24" customFormat="false" ht="15" hidden="false" customHeight="false" outlineLevel="0" collapsed="false">
      <c r="D24" s="12" t="n">
        <f aca="false">'sol ecl'!$D$24</f>
        <v>23</v>
      </c>
      <c r="E24" s="17" t="n">
        <f aca="false">'sol ecl'!$E$24</f>
        <v>10</v>
      </c>
      <c r="F24" s="12" t="n">
        <f aca="false">'sol ecl'!$F$24</f>
        <v>23</v>
      </c>
      <c r="G24" s="71" t="n">
        <f aca="false">'sol ecl'!$G$24</f>
        <v>179.230188828809</v>
      </c>
      <c r="H24" s="78" t="n">
        <f aca="false">'sol ecl'!$H$24</f>
        <v>211.401805816944</v>
      </c>
      <c r="I24" s="95" t="n">
        <f aca="false">ABS(H24-180)-G24</f>
        <v>-147.828383011865</v>
      </c>
      <c r="J24" s="25" t="str">
        <f aca="false">IF(ABS(I24)/$C$14&lt;1,I24/$C$14,"")</f>
        <v/>
      </c>
      <c r="K24" s="10" t="n">
        <f aca="false">'sol ecl'!$I$24</f>
        <v>3.67700282776604</v>
      </c>
      <c r="L24" s="18" t="str">
        <f aca="false">IF(ABS(K24)/$C$13&lt;1,K24/$C$13,"")</f>
        <v/>
      </c>
      <c r="M24" s="96" t="str">
        <f aca="false">IF(OR(J24="",L24=""),"",ABS(J24)+ABS(L24))</f>
        <v/>
      </c>
      <c r="N24" s="10" t="n">
        <f aca="false">10*K24</f>
        <v>36.7700282776604</v>
      </c>
      <c r="P24" s="0"/>
      <c r="Q24" s="0"/>
      <c r="R24" s="18" t="n">
        <f aca="false">COS(G24*PI()/180)</f>
        <v>-0.999909741809082</v>
      </c>
      <c r="S24" s="18" t="n">
        <f aca="false">SIN(G24*PI()/180)</f>
        <v>0.013435335324963</v>
      </c>
    </row>
    <row r="25" customFormat="false" ht="15" hidden="false" customHeight="false" outlineLevel="0" collapsed="false">
      <c r="D25" s="12" t="n">
        <f aca="false">'sol ecl'!$D$25</f>
        <v>24</v>
      </c>
      <c r="E25" s="17" t="n">
        <f aca="false">'sol ecl'!$E$25</f>
        <v>10</v>
      </c>
      <c r="F25" s="12" t="n">
        <f aca="false">'sol ecl'!$F$25</f>
        <v>24</v>
      </c>
      <c r="G25" s="71" t="n">
        <f aca="false">'sol ecl'!$G$25</f>
        <v>192.36067118198</v>
      </c>
      <c r="H25" s="78" t="n">
        <f aca="false">'sol ecl'!$H$25</f>
        <v>212.387453180836</v>
      </c>
      <c r="I25" s="95" t="n">
        <f aca="false">ABS(H25-180)-G25</f>
        <v>-159.973218001144</v>
      </c>
      <c r="J25" s="25" t="str">
        <f aca="false">IF(ABS(I25)/$C$14&lt;1,I25/$C$14,"")</f>
        <v/>
      </c>
      <c r="K25" s="10" t="n">
        <f aca="false">'sol ecl'!$I$25</f>
        <v>2.72330466048128</v>
      </c>
      <c r="L25" s="18" t="str">
        <f aca="false">IF(ABS(K25)/$C$13&lt;1,K25/$C$13,"")</f>
        <v/>
      </c>
      <c r="M25" s="96" t="str">
        <f aca="false">IF(OR(J25="",L25=""),"",ABS(J25)+ABS(L25))</f>
        <v/>
      </c>
      <c r="N25" s="10" t="n">
        <f aca="false">10*K25</f>
        <v>27.2330466048128</v>
      </c>
      <c r="P25" s="0"/>
      <c r="Q25" s="0"/>
      <c r="R25" s="18" t="n">
        <f aca="false">COS(G25*PI()/180)</f>
        <v>-0.976819446291376</v>
      </c>
      <c r="S25" s="18" t="n">
        <f aca="false">SIN(G25*PI()/180)</f>
        <v>-0.214064871819293</v>
      </c>
    </row>
    <row r="26" customFormat="false" ht="15" hidden="false" customHeight="false" outlineLevel="0" collapsed="false">
      <c r="D26" s="12" t="n">
        <f aca="false">'sol ecl'!$D$26</f>
        <v>25</v>
      </c>
      <c r="E26" s="17" t="n">
        <f aca="false">'sol ecl'!$E$26</f>
        <v>10</v>
      </c>
      <c r="F26" s="12" t="n">
        <f aca="false">'sol ecl'!$F$26</f>
        <v>25</v>
      </c>
      <c r="G26" s="71" t="n">
        <f aca="false">'sol ecl'!$G$26</f>
        <v>205.816267759778</v>
      </c>
      <c r="H26" s="78" t="n">
        <f aca="false">'sol ecl'!$H$26</f>
        <v>213.373100544726</v>
      </c>
      <c r="I26" s="95" t="n">
        <f aca="false">ABS(H26-180)-G26</f>
        <v>-172.443167215052</v>
      </c>
      <c r="J26" s="25" t="str">
        <f aca="false">IF(ABS(I26)/$C$14&lt;1,I26/$C$14,"")</f>
        <v/>
      </c>
      <c r="K26" s="10" t="n">
        <f aca="false">'sol ecl'!$I$26</f>
        <v>1.59552762392545</v>
      </c>
      <c r="L26" s="18" t="str">
        <f aca="false">IF(ABS(K26)/$C$13&lt;1,K26/$C$13,"")</f>
        <v/>
      </c>
      <c r="M26" s="96" t="str">
        <f aca="false">IF(OR(J26="",L26=""),"",ABS(J26)+ABS(L26))</f>
        <v/>
      </c>
      <c r="N26" s="10" t="n">
        <f aca="false">10*K26</f>
        <v>15.9552762392545</v>
      </c>
      <c r="P26" s="0"/>
      <c r="Q26" s="0"/>
      <c r="R26" s="18" t="n">
        <f aca="false">COS(G26*PI()/180)</f>
        <v>-0.900195161702641</v>
      </c>
      <c r="S26" s="18" t="n">
        <f aca="false">SIN(G26*PI()/180)</f>
        <v>-0.435486705706565</v>
      </c>
    </row>
    <row r="27" customFormat="false" ht="15" hidden="false" customHeight="false" outlineLevel="0" collapsed="false">
      <c r="D27" s="12" t="n">
        <f aca="false">'sol ecl'!$D$27</f>
        <v>26</v>
      </c>
      <c r="E27" s="17" t="n">
        <f aca="false">'sol ecl'!$E$27</f>
        <v>10</v>
      </c>
      <c r="F27" s="12" t="n">
        <f aca="false">'sol ecl'!$F$27</f>
        <v>26</v>
      </c>
      <c r="G27" s="71" t="n">
        <f aca="false">'sol ecl'!$G$27</f>
        <v>219.572924035865</v>
      </c>
      <c r="H27" s="78" t="n">
        <f aca="false">'sol ecl'!$H$27</f>
        <v>214.358747908616</v>
      </c>
      <c r="I27" s="95" t="n">
        <f aca="false">ABS(H27-180)-G27</f>
        <v>-185.214176127248</v>
      </c>
      <c r="J27" s="25" t="str">
        <f aca="false">IF(ABS(I27)/$C$14&lt;1,I27/$C$14,"")</f>
        <v/>
      </c>
      <c r="K27" s="10" t="n">
        <f aca="false">'sol ecl'!$I$27</f>
        <v>0.349888750256671</v>
      </c>
      <c r="L27" s="18" t="n">
        <f aca="false">IF(ABS(K27)/$C$13&lt;1,K27/$C$13,"")</f>
        <v>0.702587851921027</v>
      </c>
      <c r="M27" s="96" t="str">
        <f aca="false">IF(OR(J27="",L27=""),"",ABS(J27)+ABS(L27))</f>
        <v/>
      </c>
      <c r="N27" s="10" t="n">
        <f aca="false">10*K27</f>
        <v>3.49888750256671</v>
      </c>
      <c r="P27" s="37" t="n">
        <f aca="false">1.2*COS(H27*PI()/180)</f>
        <v>-0.990624062457464</v>
      </c>
      <c r="Q27" s="18" t="n">
        <f aca="false">1.2*SIN(H27*PI()/180)</f>
        <v>-0.677247345421355</v>
      </c>
      <c r="R27" s="18" t="n">
        <f aca="false">COS(G27*PI()/180)</f>
        <v>-0.770814380820779</v>
      </c>
      <c r="S27" s="18" t="n">
        <f aca="false">SIN(G27*PI()/180)</f>
        <v>-0.637059801211691</v>
      </c>
    </row>
    <row r="28" customFormat="false" ht="15" hidden="false" customHeight="false" outlineLevel="0" collapsed="false">
      <c r="D28" s="12" t="n">
        <f aca="false">'sol ecl'!$D$28</f>
        <v>27</v>
      </c>
      <c r="E28" s="17" t="n">
        <f aca="false">'sol ecl'!$E$28</f>
        <v>10</v>
      </c>
      <c r="F28" s="12" t="n">
        <f aca="false">'sol ecl'!$F$28</f>
        <v>27</v>
      </c>
      <c r="G28" s="71" t="n">
        <f aca="false">'sol ecl'!$G$28</f>
        <v>233.581423834797</v>
      </c>
      <c r="H28" s="78" t="n">
        <f aca="false">'sol ecl'!$H$28</f>
        <v>215.344395272508</v>
      </c>
      <c r="I28" s="95" t="n">
        <f aca="false">ABS(H28-180)-G28</f>
        <v>-198.237028562289</v>
      </c>
      <c r="J28" s="25" t="str">
        <f aca="false">IF(ABS(I28)/$C$14&lt;1,I28/$C$14,"")</f>
        <v/>
      </c>
      <c r="K28" s="10" t="n">
        <f aca="false">'sol ecl'!$I$28</f>
        <v>-0.939936300098635</v>
      </c>
      <c r="L28" s="18" t="str">
        <f aca="false">IF(ABS(K28)/$C$13&lt;1,K28/$C$13,"")</f>
        <v/>
      </c>
      <c r="M28" s="96" t="str">
        <f aca="false">IF(OR(J28="",L28=""),"",ABS(J28)+ABS(L28))</f>
        <v/>
      </c>
      <c r="N28" s="10" t="n">
        <f aca="false">10*K28</f>
        <v>-9.39936300098635</v>
      </c>
      <c r="P28" s="0"/>
      <c r="Q28" s="0"/>
      <c r="R28" s="18" t="n">
        <f aca="false">COS(G28*PI()/180)</f>
        <v>-0.593679814250214</v>
      </c>
      <c r="S28" s="18" t="n">
        <f aca="false">SIN(G28*PI()/180)</f>
        <v>-0.804701359606054</v>
      </c>
    </row>
    <row r="29" customFormat="false" ht="15" hidden="false" customHeight="false" outlineLevel="0" collapsed="false">
      <c r="D29" s="12" t="n">
        <f aca="false">'sol ecl'!$D$29</f>
        <v>28</v>
      </c>
      <c r="E29" s="17" t="n">
        <f aca="false">'sol ecl'!$E$29</f>
        <v>10</v>
      </c>
      <c r="F29" s="55" t="n">
        <f aca="false">'sol ecl'!$F$29</f>
        <v>28</v>
      </c>
      <c r="G29" s="71" t="n">
        <f aca="false">'sol ecl'!$G$29</f>
        <v>247.773905032934</v>
      </c>
      <c r="H29" s="78" t="n">
        <f aca="false">'sol ecl'!$H$29</f>
        <v>216.330042636402</v>
      </c>
      <c r="I29" s="95" t="n">
        <f aca="false">ABS(H29-180)-G29</f>
        <v>-211.443862396532</v>
      </c>
      <c r="J29" s="25" t="str">
        <f aca="false">IF(ABS(I29)/$C$14&lt;1,I29/$C$14,"")</f>
        <v/>
      </c>
      <c r="K29" s="10" t="n">
        <f aca="false">'sol ecl'!$I$29</f>
        <v>-2.18906381211348</v>
      </c>
      <c r="L29" s="18" t="str">
        <f aca="false">IF(ABS(K29)/$C$13&lt;1,K29/$C$13,"")</f>
        <v/>
      </c>
      <c r="M29" s="96" t="str">
        <f aca="false">IF(OR(J29="",L29=""),"",ABS(J29)+ABS(L29))</f>
        <v/>
      </c>
      <c r="N29" s="10" t="n">
        <f aca="false">10*K29</f>
        <v>-21.8906381211348</v>
      </c>
      <c r="P29" s="0"/>
      <c r="Q29" s="0"/>
      <c r="R29" s="18" t="n">
        <f aca="false">COS(G29*PI()/180)</f>
        <v>-0.378262428979756</v>
      </c>
      <c r="S29" s="18" t="n">
        <f aca="false">SIN(G29*PI()/180)</f>
        <v>-0.925698403813216</v>
      </c>
    </row>
    <row r="30" customFormat="false" ht="15" hidden="false" customHeight="false" outlineLevel="0" collapsed="false">
      <c r="D30" s="12" t="n">
        <f aca="false">'sol ecl'!$D$30</f>
        <v>29</v>
      </c>
      <c r="E30" s="12" t="n">
        <f aca="false">'sol ecl'!$E$30</f>
        <v>10</v>
      </c>
      <c r="F30" s="12" t="n">
        <f aca="false">'sol ecl'!$F$30</f>
        <v>29</v>
      </c>
      <c r="G30" s="71" t="n">
        <f aca="false">'sol ecl'!$G$30</f>
        <v>262.073781214146</v>
      </c>
      <c r="H30" s="78" t="n">
        <f aca="false">'sol ecl'!$H$30</f>
        <v>217.315690000296</v>
      </c>
      <c r="I30" s="95" t="n">
        <f aca="false">ABS(H30-180)-G30</f>
        <v>-224.75809121385</v>
      </c>
      <c r="J30" s="25" t="str">
        <f aca="false">IF(ABS(I30)/$C$14&lt;1,I30/$C$14,"")</f>
        <v/>
      </c>
      <c r="K30" s="10" t="n">
        <f aca="false">'sol ecl'!$I$30</f>
        <v>-3.31106006015076</v>
      </c>
      <c r="L30" s="18" t="str">
        <f aca="false">IF(ABS(K30)/$C$13&lt;1,K30/$C$13,"")</f>
        <v/>
      </c>
      <c r="M30" s="96" t="str">
        <f aca="false">IF(OR(J30="",L30=""),"",ABS(J30)+ABS(L30))</f>
        <v/>
      </c>
      <c r="N30" s="10" t="n">
        <f aca="false">10*K30</f>
        <v>-33.1106006015076</v>
      </c>
      <c r="P30" s="0"/>
      <c r="Q30" s="0"/>
      <c r="R30" s="0"/>
      <c r="S30" s="0"/>
    </row>
    <row r="31" customFormat="false" ht="15" hidden="false" customHeight="false" outlineLevel="0" collapsed="false">
      <c r="D31" s="12" t="n">
        <f aca="false">'sol ecl'!$D$31</f>
        <v>30</v>
      </c>
      <c r="E31" s="12" t="n">
        <f aca="false">'sol ecl'!$E$31</f>
        <v>10</v>
      </c>
      <c r="F31" s="12" t="n">
        <f aca="false">'sol ecl'!$F$31</f>
        <v>30</v>
      </c>
      <c r="G31" s="71" t="n">
        <f aca="false">'sol ecl'!$G$31</f>
        <v>276.406481697268</v>
      </c>
      <c r="H31" s="78" t="n">
        <f aca="false">'sol ecl'!$H$31</f>
        <v>218.301337364186</v>
      </c>
      <c r="I31" s="95" t="n">
        <f aca="false">ABS(H31-180)-G31</f>
        <v>-238.105144333082</v>
      </c>
      <c r="J31" s="25" t="str">
        <f aca="false">IF(ABS(I31)/$C$14&lt;1,I31/$C$14,"")</f>
        <v/>
      </c>
      <c r="K31" s="10" t="n">
        <f aca="false">'sol ecl'!$I$31</f>
        <v>-4.22841863332811</v>
      </c>
      <c r="L31" s="18" t="str">
        <f aca="false">IF(ABS(K31)/$C$13&lt;1,K31/$C$13,"")</f>
        <v/>
      </c>
      <c r="M31" s="96" t="str">
        <f aca="false">IF(OR(J31="",L31=""),"",ABS(J31)+ABS(L31))</f>
        <v/>
      </c>
      <c r="N31" s="10" t="n">
        <f aca="false">10*K31</f>
        <v>-42.2841863332811</v>
      </c>
      <c r="P31" s="0"/>
      <c r="Q31" s="0"/>
      <c r="R31" s="0"/>
      <c r="S31" s="0"/>
    </row>
    <row r="32" customFormat="false" ht="15" hidden="false" customHeight="false" outlineLevel="0" collapsed="false">
      <c r="D32" s="12" t="n">
        <f aca="false">'sol ecl'!$D$32</f>
        <v>31</v>
      </c>
      <c r="E32" s="12" t="n">
        <f aca="false">'sol ecl'!$E$32</f>
        <v>10</v>
      </c>
      <c r="F32" s="12" t="n">
        <f aca="false">'sol ecl'!$F$32</f>
        <v>31</v>
      </c>
      <c r="G32" s="71" t="n">
        <f aca="false">'sol ecl'!$G$32</f>
        <v>290.708118788149</v>
      </c>
      <c r="H32" s="78" t="n">
        <f aca="false">'sol ecl'!$H$32</f>
        <v>219.286984728082</v>
      </c>
      <c r="I32" s="95" t="n">
        <f aca="false">ABS(H32-180)-G32</f>
        <v>-251.421134060067</v>
      </c>
      <c r="J32" s="25" t="str">
        <f aca="false">IF(ABS(I32)/$C$14&lt;1,I32/$C$14,"")</f>
        <v/>
      </c>
      <c r="K32" s="10" t="n">
        <f aca="false">'sol ecl'!$I$32</f>
        <v>-4.88099771490685</v>
      </c>
      <c r="L32" s="18" t="str">
        <f aca="false">IF(ABS(K32)/$C$13&lt;1,K32/$C$13,"")</f>
        <v/>
      </c>
      <c r="M32" s="96" t="str">
        <f aca="false">IF(OR(J32="",L32=""),"",ABS(J32)+ABS(L32))</f>
        <v/>
      </c>
      <c r="N32" s="10" t="n">
        <f aca="false">10*K32</f>
        <v>-48.8099771490684</v>
      </c>
      <c r="P32" s="0"/>
      <c r="Q32" s="0"/>
      <c r="R32" s="0"/>
      <c r="S32" s="0"/>
    </row>
    <row r="34" customFormat="false" ht="15" hidden="false" customHeight="false" outlineLevel="0" collapsed="false">
      <c r="A34" s="0" t="s">
        <v>101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3" name="Schaltfläche 1">
              <controlPr defaultSize="0" print="true" autoFill="0" autoPict="0" macro="Module1.total_lun">
                <anchor moveWithCells="true" sizeWithCells="false">
                  <from>
                    <xdr:col>0</xdr:col>
                    <xdr:colOff>41760</xdr:colOff>
                    <xdr:row>6</xdr:row>
                    <xdr:rowOff>158760</xdr:rowOff>
                  </from>
                  <to>
                    <xdr:col>1</xdr:col>
                    <xdr:colOff>533520</xdr:colOff>
                    <xdr:row>7</xdr:row>
                    <xdr:rowOff>169560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4" name="Schaltfläche 2">
              <controlPr defaultSize="0" print="true" autoFill="0" autoPict="0" macro="Module1.partial_lun">
                <anchor moveWithCells="true" sizeWithCells="false">
                  <from>
                    <xdr:col>0</xdr:col>
                    <xdr:colOff>52200</xdr:colOff>
                    <xdr:row>2</xdr:row>
                    <xdr:rowOff>147960</xdr:rowOff>
                  </from>
                  <to>
                    <xdr:col>1</xdr:col>
                    <xdr:colOff>606600</xdr:colOff>
                    <xdr:row>3</xdr:row>
                    <xdr:rowOff>168840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M308"/>
  <sheetViews>
    <sheetView showFormulas="false" showGridLines="true" showRowColHeaders="true" showZeros="true" rightToLeft="false" tabSelected="false" showOutlineSymbols="true" defaultGridColor="true" view="normal" topLeftCell="A221" colorId="64" zoomScale="100" zoomScaleNormal="100" zoomScalePageLayoutView="100" workbookViewId="0">
      <selection pane="topLeft" activeCell="AX229" activeCellId="0" sqref="AX229"/>
    </sheetView>
  </sheetViews>
  <sheetFormatPr defaultColWidth="9.625" defaultRowHeight="15" zeroHeight="false" outlineLevelRow="0" outlineLevelCol="0"/>
  <cols>
    <col collapsed="false" customWidth="true" hidden="false" outlineLevel="0" max="1" min="1" style="17" width="9.86"/>
    <col collapsed="false" customWidth="true" hidden="false" outlineLevel="0" max="2" min="2" style="17" width="8.29"/>
    <col collapsed="false" customWidth="true" hidden="false" outlineLevel="0" max="3" min="3" style="15" width="6.09"/>
    <col collapsed="false" customWidth="true" hidden="false" outlineLevel="0" max="4" min="4" style="19" width="5.64"/>
    <col collapsed="false" customWidth="true" hidden="false" outlineLevel="0" max="5" min="5" style="20" width="6.43"/>
    <col collapsed="false" customWidth="true" hidden="false" outlineLevel="0" max="6" min="6" style="20" width="6.58"/>
    <col collapsed="false" customWidth="true" hidden="false" outlineLevel="0" max="7" min="7" style="20" width="11.16"/>
    <col collapsed="false" customWidth="true" hidden="false" outlineLevel="0" max="8" min="8" style="10" width="7.44"/>
    <col collapsed="false" customWidth="true" hidden="false" outlineLevel="0" max="9" min="9" style="21" width="9.99"/>
    <col collapsed="false" customWidth="true" hidden="false" outlineLevel="0" max="10" min="10" style="10" width="7.11"/>
    <col collapsed="false" customWidth="true" hidden="false" outlineLevel="0" max="11" min="11" style="21" width="8.16"/>
    <col collapsed="false" customWidth="true" hidden="false" outlineLevel="0" max="12" min="12" style="22" width="10.94"/>
    <col collapsed="false" customWidth="true" hidden="false" outlineLevel="0" max="13" min="13" style="23" width="8.8"/>
    <col collapsed="false" customWidth="true" hidden="false" outlineLevel="0" max="14" min="14" style="84" width="6.58"/>
    <col collapsed="false" customWidth="true" hidden="false" outlineLevel="0" max="15" min="15" style="18" width="6.2"/>
    <col collapsed="false" customWidth="true" hidden="false" outlineLevel="0" max="16" min="16" style="84" width="7.55"/>
    <col collapsed="false" customWidth="true" hidden="false" outlineLevel="0" max="17" min="17" style="18" width="5.75"/>
    <col collapsed="false" customWidth="true" hidden="false" outlineLevel="0" max="18" min="18" style="18" width="5.64"/>
    <col collapsed="false" customWidth="true" hidden="false" outlineLevel="0" max="20" min="19" style="18" width="5.75"/>
    <col collapsed="false" customWidth="true" hidden="false" outlineLevel="0" max="21" min="21" style="18" width="5.64"/>
    <col collapsed="false" customWidth="true" hidden="false" outlineLevel="0" max="22" min="22" style="17" width="6.82"/>
    <col collapsed="false" customWidth="true" hidden="false" outlineLevel="0" max="23" min="23" style="25" width="6.43"/>
    <col collapsed="false" customWidth="true" hidden="false" outlineLevel="0" max="24" min="24" style="17" width="6.43"/>
    <col collapsed="false" customWidth="true" hidden="false" outlineLevel="0" max="25" min="25" style="17" width="7.33"/>
    <col collapsed="false" customWidth="true" hidden="false" outlineLevel="0" max="26" min="26" style="17" width="7.78"/>
    <col collapsed="false" customWidth="true" hidden="false" outlineLevel="0" max="27" min="27" style="17" width="5.52"/>
    <col collapsed="false" customWidth="true" hidden="false" outlineLevel="0" max="28" min="28" style="17" width="6.2"/>
    <col collapsed="false" customWidth="true" hidden="false" outlineLevel="0" max="29" min="29" style="17" width="6.54"/>
    <col collapsed="false" customWidth="true" hidden="false" outlineLevel="0" max="30" min="30" style="17" width="6.09"/>
    <col collapsed="false" customWidth="true" hidden="false" outlineLevel="0" max="31" min="31" style="17" width="6.2"/>
    <col collapsed="false" customWidth="true" hidden="false" outlineLevel="0" max="32" min="32" style="17" width="5.64"/>
    <col collapsed="false" customWidth="true" hidden="false" outlineLevel="0" max="33" min="33" style="22" width="5.98"/>
    <col collapsed="false" customWidth="true" hidden="false" outlineLevel="0" max="34" min="34" style="26" width="6.2"/>
    <col collapsed="false" customWidth="true" hidden="false" outlineLevel="0" max="35" min="35" style="10" width="6.43"/>
    <col collapsed="false" customWidth="true" hidden="false" outlineLevel="0" max="36" min="36" style="18" width="11.16"/>
    <col collapsed="false" customWidth="true" hidden="false" outlineLevel="0" max="37" min="37" style="17" width="6.88"/>
    <col collapsed="false" customWidth="true" hidden="false" outlineLevel="0" max="38" min="38" style="18" width="6.94"/>
    <col collapsed="false" customWidth="true" hidden="false" outlineLevel="0" max="39" min="39" style="17" width="8.46"/>
    <col collapsed="false" customWidth="true" hidden="false" outlineLevel="0" max="40" min="40" style="10" width="8.16"/>
    <col collapsed="false" customWidth="true" hidden="false" outlineLevel="0" max="41" min="41" style="20" width="8.41"/>
    <col collapsed="false" customWidth="true" hidden="false" outlineLevel="0" max="42" min="42" style="27" width="7.78"/>
    <col collapsed="false" customWidth="true" hidden="false" outlineLevel="0" max="43" min="43" style="28" width="6.54"/>
    <col collapsed="false" customWidth="true" hidden="false" outlineLevel="0" max="44" min="44" style="10" width="6.2"/>
    <col collapsed="false" customWidth="true" hidden="false" outlineLevel="0" max="45" min="45" style="10" width="5.98"/>
    <col collapsed="false" customWidth="true" hidden="false" outlineLevel="0" max="46" min="46" style="10" width="10.26"/>
    <col collapsed="false" customWidth="true" hidden="false" outlineLevel="0" max="47" min="47" style="29" width="10.83"/>
    <col collapsed="false" customWidth="true" hidden="false" outlineLevel="0" max="48" min="48" style="10" width="7.89"/>
    <col collapsed="false" customWidth="true" hidden="false" outlineLevel="0" max="49" min="49" style="10" width="7.8"/>
    <col collapsed="false" customWidth="true" hidden="false" outlineLevel="0" max="50" min="50" style="30" width="8.8"/>
    <col collapsed="false" customWidth="true" hidden="false" outlineLevel="0" max="51" min="51" style="10" width="7.8"/>
    <col collapsed="false" customWidth="true" hidden="false" outlineLevel="0" max="52" min="52" style="17" width="6.09"/>
    <col collapsed="false" customWidth="true" hidden="false" outlineLevel="0" max="53" min="53" style="31" width="6.82"/>
    <col collapsed="false" customWidth="true" hidden="false" outlineLevel="0" max="54" min="54" style="31" width="7.8"/>
    <col collapsed="false" customWidth="true" hidden="false" outlineLevel="0" max="55" min="55" style="31" width="7.68"/>
    <col collapsed="false" customWidth="true" hidden="false" outlineLevel="0" max="56" min="56" style="32" width="8.16"/>
    <col collapsed="false" customWidth="true" hidden="false" outlineLevel="0" max="57" min="57" style="33" width="8.53"/>
    <col collapsed="false" customWidth="true" hidden="false" outlineLevel="0" max="58" min="58" style="27" width="7.07"/>
    <col collapsed="false" customWidth="true" hidden="false" outlineLevel="0" max="59" min="59" style="27" width="6.94"/>
    <col collapsed="false" customWidth="true" hidden="false" outlineLevel="0" max="60" min="60" style="27" width="7.07"/>
    <col collapsed="false" customWidth="true" hidden="false" outlineLevel="0" max="61" min="61" style="34" width="8.16"/>
    <col collapsed="false" customWidth="true" hidden="false" outlineLevel="0" max="62" min="62" style="35" width="8.77"/>
    <col collapsed="false" customWidth="true" hidden="false" outlineLevel="0" max="63" min="63" style="12" width="6.82"/>
    <col collapsed="false" customWidth="true" hidden="false" outlineLevel="0" max="64" min="64" style="0" width="9.02"/>
  </cols>
  <sheetData>
    <row r="1" customFormat="false" ht="15" hidden="false" customHeight="false" outlineLevel="0" collapsed="false">
      <c r="A1" s="36" t="s">
        <v>0</v>
      </c>
      <c r="B1" s="36" t="s">
        <v>1</v>
      </c>
      <c r="C1" s="87" t="s">
        <v>8</v>
      </c>
      <c r="D1" s="38" t="s">
        <v>20</v>
      </c>
      <c r="E1" s="36" t="s">
        <v>2</v>
      </c>
      <c r="F1" s="36" t="s">
        <v>3</v>
      </c>
      <c r="G1" s="36" t="s">
        <v>21</v>
      </c>
      <c r="H1" s="39" t="s">
        <v>22</v>
      </c>
      <c r="I1" s="39" t="s">
        <v>23</v>
      </c>
      <c r="J1" s="39" t="s">
        <v>24</v>
      </c>
      <c r="K1" s="39" t="s">
        <v>25</v>
      </c>
      <c r="L1" s="40" t="s">
        <v>26</v>
      </c>
      <c r="M1" s="41" t="s">
        <v>27</v>
      </c>
      <c r="N1" s="87" t="s">
        <v>28</v>
      </c>
      <c r="O1" s="37" t="s">
        <v>29</v>
      </c>
      <c r="P1" s="87" t="s">
        <v>30</v>
      </c>
      <c r="Q1" s="37" t="s">
        <v>31</v>
      </c>
      <c r="R1" s="37" t="s">
        <v>32</v>
      </c>
      <c r="S1" s="42" t="s">
        <v>33</v>
      </c>
      <c r="T1" s="37" t="s">
        <v>34</v>
      </c>
      <c r="U1" s="37" t="s">
        <v>35</v>
      </c>
      <c r="V1" s="38" t="s">
        <v>36</v>
      </c>
      <c r="W1" s="43" t="s">
        <v>37</v>
      </c>
      <c r="X1" s="38" t="s">
        <v>38</v>
      </c>
      <c r="Y1" s="38" t="s">
        <v>39</v>
      </c>
      <c r="Z1" s="38" t="s">
        <v>40</v>
      </c>
      <c r="AA1" s="38" t="s">
        <v>41</v>
      </c>
      <c r="AB1" s="38" t="s">
        <v>42</v>
      </c>
      <c r="AC1" s="38" t="s">
        <v>43</v>
      </c>
      <c r="AD1" s="38" t="s">
        <v>44</v>
      </c>
      <c r="AE1" s="38" t="s">
        <v>45</v>
      </c>
      <c r="AF1" s="38" t="s">
        <v>46</v>
      </c>
      <c r="AG1" s="40" t="s">
        <v>47</v>
      </c>
      <c r="AH1" s="44" t="s">
        <v>48</v>
      </c>
      <c r="AI1" s="40" t="s">
        <v>49</v>
      </c>
      <c r="AJ1" s="37" t="s">
        <v>50</v>
      </c>
      <c r="AK1" s="38" t="s">
        <v>51</v>
      </c>
      <c r="AL1" s="37" t="s">
        <v>52</v>
      </c>
      <c r="AM1" s="38" t="s">
        <v>53</v>
      </c>
      <c r="AN1" s="40" t="s">
        <v>54</v>
      </c>
      <c r="AO1" s="45" t="s">
        <v>28</v>
      </c>
      <c r="AP1" s="37" t="s">
        <v>55</v>
      </c>
      <c r="AQ1" s="25" t="s">
        <v>56</v>
      </c>
      <c r="AR1" s="14" t="n">
        <v>1</v>
      </c>
      <c r="AS1" s="14" t="n">
        <v>2</v>
      </c>
      <c r="AT1" s="10" t="s">
        <v>57</v>
      </c>
      <c r="AU1" s="29" t="s">
        <v>59</v>
      </c>
      <c r="AV1" s="10" t="s">
        <v>60</v>
      </c>
      <c r="AW1" s="10" t="s">
        <v>61</v>
      </c>
      <c r="AX1" s="30" t="s">
        <v>62</v>
      </c>
      <c r="AY1" s="10" t="s">
        <v>63</v>
      </c>
      <c r="AZ1" s="17" t="s">
        <v>64</v>
      </c>
      <c r="BA1" s="31" t="s">
        <v>65</v>
      </c>
      <c r="BB1" s="31" t="s">
        <v>66</v>
      </c>
      <c r="BC1" s="31" t="s">
        <v>67</v>
      </c>
      <c r="BD1" s="32" t="s">
        <v>68</v>
      </c>
      <c r="BE1" s="33" t="s">
        <v>36</v>
      </c>
      <c r="BF1" s="27" t="s">
        <v>69</v>
      </c>
      <c r="BG1" s="27" t="s">
        <v>70</v>
      </c>
      <c r="BH1" s="27" t="s">
        <v>71</v>
      </c>
      <c r="BI1" s="46" t="s">
        <v>115</v>
      </c>
      <c r="BJ1" s="35" t="s">
        <v>73</v>
      </c>
    </row>
    <row r="2" customFormat="false" ht="15" hidden="false" customHeight="false" outlineLevel="0" collapsed="false">
      <c r="A2" s="47" t="n">
        <f aca="false">input!$A$2</f>
        <v>0</v>
      </c>
      <c r="B2" s="47" t="n">
        <f aca="false">input!$B$2</f>
        <v>0</v>
      </c>
      <c r="C2" s="15" t="n">
        <f aca="false">$A$2+$B$2/60</f>
        <v>0</v>
      </c>
      <c r="D2" s="36" t="n">
        <v>1</v>
      </c>
      <c r="E2" s="100" t="n">
        <f aca="false">input!$C$2</f>
        <v>10</v>
      </c>
      <c r="F2" s="100" t="n">
        <f aca="false">input!$D$2</f>
        <v>2022</v>
      </c>
      <c r="G2" s="47" t="n">
        <f aca="false">input!$E$2</f>
        <v>-23</v>
      </c>
      <c r="H2" s="39" t="n">
        <f aca="false">AM2</f>
        <v>-15.800638274534</v>
      </c>
      <c r="I2" s="48" t="n">
        <f aca="false">H2+1.02/(TAN($A$4*(H2+10.3/(H2+5.11)))*60)</f>
        <v>-15.8570727688493</v>
      </c>
      <c r="J2" s="39" t="n">
        <f aca="false">100*(1+COS($A$4*AQ2))/2</f>
        <v>28.0287694159073</v>
      </c>
      <c r="K2" s="48" t="n">
        <f aca="false">IF(AI2&gt;180,AT2-180,AT2+180)</f>
        <v>234.546147481958</v>
      </c>
      <c r="L2" s="10" t="n">
        <f aca="false">INT(365.25*IF(E2&gt;2,F2+4716,F2-1+4716))+INT(30.6001*IF(E2&gt;2,E2+1,E2+12+1))+D2+C2/24+2-INT(IF(E2&gt;2,F2,F2-1)/100)+INT(INT(IF(E2&gt;2,F2,F2-1)/100)/4)-1524.5</f>
        <v>2459853.5</v>
      </c>
      <c r="M2" s="49" t="n">
        <f aca="false">(L2-2451545)/36525</f>
        <v>0.227474332648871</v>
      </c>
      <c r="N2" s="15" t="n">
        <f aca="false">MOD(280.46061837+360.98564736629*(L2-2451545)+0.000387933*M2^2-M2^3/38710000+$G$4,360)</f>
        <v>9.71178126335144</v>
      </c>
      <c r="O2" s="18" t="n">
        <f aca="false">0.60643382+1336.85522467*M2 - 0.00000313*M2^2 - INT(0.60643382+1336.85522467*M2 - 0.00000313*M2^2)</f>
        <v>0.70668373800379</v>
      </c>
      <c r="P2" s="15" t="n">
        <f aca="false">22640*SIN(Q2)-4586*SIN(Q2-2*S2)+2370*SIN(2*S2)+769*SIN(2*Q2)-668*SIN(R2)-412*SIN(2*T2)-212*SIN(2*Q2-2*S2)-206*SIN(Q2+R2-2*S2)+192*SIN(Q2+2*S2)-165*SIN(R2-2*S2)-125*SIN(S2)-110*SIN(Q2+R2)+148*SIN(Q2-R2)-55*SIN(2*T2-2*S2)</f>
        <v>-10176.0094311988</v>
      </c>
      <c r="Q2" s="18" t="n">
        <f aca="false">2*PI()*(0.374897+1325.55241*M2 - INT(0.374897+1325.55241*M2))</f>
        <v>5.680293921692</v>
      </c>
      <c r="R2" s="26" t="n">
        <f aca="false">2*PI()*(0.99312619+99.99735956*M2 - 0.00000044*M2^2 - INT(0.99312619+99.99735956*M2- 0.00000044*M2^2))</f>
        <v>4.64929825877481</v>
      </c>
      <c r="S2" s="26" t="n">
        <f aca="false">2*PI()*(0.827361+1236.853086*M2 - INT(0.827361+1236.853086*M2))</f>
        <v>1.12903387764998</v>
      </c>
      <c r="T2" s="26" t="n">
        <f aca="false">2*PI()*(0.259086+1342.227825*M2 - INT(0.259086+1342.227825*M2))</f>
        <v>3.65345080287198</v>
      </c>
      <c r="U2" s="26" t="n">
        <f aca="false">T2+(P2+412*SIN(2*T2)+541*SIN(R2))/206264.8062</f>
        <v>3.6032043945871</v>
      </c>
      <c r="V2" s="26" t="n">
        <f aca="false">T2-2*S2</f>
        <v>1.39538304757201</v>
      </c>
      <c r="W2" s="25" t="n">
        <f aca="false">-526*SIN(V2)+44*SIN(Q2+V2)-31*SIN(-Q2+V2)-23*SIN(R2+V2)+11*SIN(-R2+V2)-25*SIN(-2*Q2+T2)+21*SIN(-Q2+T2)</f>
        <v>-502.262278248768</v>
      </c>
      <c r="X2" s="26" t="n">
        <f aca="false">2*PI()*(O2+P2/1296000-INT(O2+P2/1296000))</f>
        <v>4.39089019353471</v>
      </c>
      <c r="Y2" s="26" t="n">
        <f aca="false">(18520*SIN(U2)+W2)/206264.8062</f>
        <v>-0.0424256438022818</v>
      </c>
      <c r="Z2" s="26" t="n">
        <f aca="false">Y2*180/PI()</f>
        <v>-2.4308103329961</v>
      </c>
      <c r="AA2" s="26" t="n">
        <f aca="false">COS(Y2)*COS(X2)</f>
        <v>-0.315704571195698</v>
      </c>
      <c r="AB2" s="26" t="n">
        <f aca="false">COS(Y2)*SIN(X2)</f>
        <v>-0.947909156057302</v>
      </c>
      <c r="AC2" s="26" t="n">
        <f aca="false">SIN(Y2)</f>
        <v>-0.042412917712331</v>
      </c>
      <c r="AD2" s="26" t="n">
        <f aca="false">COS($A$4*(23.4393-46.815*M2/3600))*AB2-SIN($A$4*(23.4393-46.815*M2/3600))*AC2</f>
        <v>-0.852840167737263</v>
      </c>
      <c r="AE2" s="26" t="n">
        <f aca="false">SIN($A$4*(23.4393-46.815*M2/3600))*AB2+COS($A$4*(23.4393-46.815*M2/3600))*AC2</f>
        <v>-0.415925801099208</v>
      </c>
      <c r="AF2" s="26" t="n">
        <f aca="false">SQRT(1-AE2*AE2)</f>
        <v>0.909398552879859</v>
      </c>
      <c r="AG2" s="10" t="n">
        <f aca="false">ATAN(AE2/AF2)/$A$4</f>
        <v>-24.5776321264866</v>
      </c>
      <c r="AH2" s="26" t="n">
        <f aca="false">IF(24*ATAN(AD2/(AA2+AF2))/PI()&gt;0,24*ATAN(AD2/(AA2+AF2))/PI(),24*ATAN(AD2/(AA2+AF2))/PI()+24)</f>
        <v>16.645762917233</v>
      </c>
      <c r="AI2" s="10" t="n">
        <f aca="false">IF(N2-15*AH2&gt;0,N2-15*AH2,360+N2-15*AH2)</f>
        <v>120.025337504856</v>
      </c>
      <c r="AJ2" s="18" t="n">
        <f aca="false">0.950724+0.051818*COS(Q2)+0.009531*COS(2*S2-Q2)+0.007843*COS(2*S2)+0.002824*COS(2*Q2)+0.000857*COS(2*S2+Q2)+0.000533*COS(2*S2-R2)+0.000401*COS(2*S2-R2-Q2)+0.00032*COS(Q2-R2)-0.000271*COS(S2)</f>
        <v>0.97978051068691</v>
      </c>
      <c r="AK2" s="50" t="n">
        <f aca="false">ASIN(COS($A$4*$G$2)*COS($A$4*AG2)*COS($A$4*AI2)+SIN($A$4*$G$2)*SIN($A$4*AG2))/$A$4</f>
        <v>-14.854084763587</v>
      </c>
      <c r="AL2" s="18" t="n">
        <f aca="false">ASIN((0.9983271+0.0016764*COS($A$4*2*$G$2))*COS($A$4*AK2)*SIN($A$4*AJ2))/$A$4</f>
        <v>0.946553510946934</v>
      </c>
      <c r="AM2" s="18" t="n">
        <f aca="false">AK2-AL2</f>
        <v>-15.800638274534</v>
      </c>
      <c r="AN2" s="10" t="n">
        <f aca="false"> IF(280.4664567 + 360007.6982779*M2/10 + 0.03032028*M2^2/100 + M2^3/49931000&lt;0,MOD(280.4664567 + 360007.6982779*M2/10 + 0.03032028*M2^2/100 + M2^3/49931000+360,360),MOD(280.4664567 + 360007.6982779*M2/10 + 0.03032028*M2^2/100 + M2^3/49931000,360))</f>
        <v>189.717563811462</v>
      </c>
      <c r="AO2" s="27" t="n">
        <f aca="false"> AN2 + (1.9146 - 0.004817*M2 - 0.000014*M2^2)*SIN(R2)+ (0.019993 - 0.000101*M2)*SIN(2*R2)+ 0.00029*SIN(3*R2)</f>
        <v>187.810665295073</v>
      </c>
      <c r="AP2" s="18" t="n">
        <f aca="false">ACOS(COS(X2-$A$4*AO2)*COS(Y2))/$A$4</f>
        <v>63.7942121941362</v>
      </c>
      <c r="AQ2" s="25" t="n">
        <f aca="false">180 - AP2 -0.1468*(1-0.0549*SIN(R2))*SIN($A$4*AP2)/(1-0.0167*SIN($A$4*AO2))</f>
        <v>116.067174864776</v>
      </c>
      <c r="AR2" s="25" t="n">
        <f aca="false">SIN($A$4*AI2)</f>
        <v>0.865804207669224</v>
      </c>
      <c r="AS2" s="25" t="n">
        <f aca="false">COS($A$4*AI2)*SIN($A$4*$G$2) - TAN($A$4*AG2)*COS($A$4*$G$2)</f>
        <v>0.616520604654093</v>
      </c>
      <c r="AT2" s="25" t="n">
        <f aca="false">IF(OR(AND(AR2*AS2&gt;0), AND(AR2&lt;0,AS2&gt;0)), MOD(ATAN2(AS2,AR2)/$A$4+360,360),  ATAN2(AS2,AR2)/$A$4)</f>
        <v>54.5461474819576</v>
      </c>
      <c r="AU2" s="29" t="n">
        <f aca="false">(1+SIN($A$4*H2)*SIN($A$4*AJ2))*120*ASIN(0.272481*SIN($A$4*AJ2))/$A$4</f>
        <v>31.8859859236292</v>
      </c>
      <c r="AV2" s="10" t="n">
        <f aca="false">COS(X2)</f>
        <v>-0.315988908330502</v>
      </c>
      <c r="AW2" s="10" t="n">
        <f aca="false">SIN(X2)</f>
        <v>-0.948762883871464</v>
      </c>
      <c r="AX2" s="30" t="n">
        <f aca="false"> 385000.56 + (-20905355*COS(Q2) - 3699111*COS(2*S2-Q2) - 2955968*COS(2*S2) - 569925*COS(2*Q2) + (1-0.002516*M2)*48888*COS(R2) - 3149*COS(2*T2)  +246158*COS(2*S2-2*Q2) -(1-0.002516*M2)*152138*COS(2*S2-R2-Q2) -170733*COS(2*S2+Q2) -(1-0.002516*M2)*204586*COS(2*S2-R2) -(1-0.002516*M2)*129620*COS(R2-Q2)  + 108743*COS(S2) +(1-0.002516*M2)*104755*COS(R2+Q2) +10321*COS(2*S2-2*T2) +79661*COS(Q2-2*T2) -34782*COS(4*S2-Q2) -23210*COS(3*Q2)  -21636*COS(4*S2-2*Q2) +(1-0.002516*M2)*24208*COS(2*S2+R2-Q2) +(1-0.002516*M2)*30824*COS(2*S2+R2) -8379*COS(S2-Q2) -(1-0.002516*M2)*16675*COS(S2+R2)  -(1-0.002516*M2)*12831*COS(2*S2-R2+Q2) -10445*COS(2*S2+2*Q2) -11650*COS(4*S2) +14403*COS(2*S2-3*Q2) -(1-0.002516*M2)*7003*COS(R2-2*Q2)  + (1-0.002516*M2)*10056*COS(2*S2-R2-2*Q2) +6322*COS(S2+Q2) -(1-0.002516*M2)*(1-0.002516*M2)*9884*COS(2*S2-2*R2) +(1-0.002516*M2)*5751*COS(R2+2*Q2) -(1-0.002516*M2)*(1-0.002516*M2)*4950*COS(2*S2-2*R2-Q2)  +4130*COS(2*S2+Q2-2*T2) -(1-0.002516*M2)*3958*COS(4*S2-R2-Q2) +3258*COS(3*S2-Q2) +(1-0.002516*M2)*2616*COS(2*S2+R2+Q2) -(1-0.002516*M2)*1897*COS(4*S2-R2-2*Q2)  -(1-0.002516*M2)*(1-0.002516*M2)*2117*COS(2*R2-Q2) +(1-0.002516*M2)*(1-0.002516*M2)*2354*COS(2*S2+2*R2-Q2) -1423*COS(4*S2+Q2) -1117*COS(4*Q2) -(1-0.002516*M2)*1571*COS(4*S2-R2)  -1739*COS(S2-2*Q2) -4421*COS(2*Q2-2*T2) +(1-0.002516*M2)*(1-0.002516*M2)*1165*COS(2*R2+Q2) +8752*COS(2*S2-Q2-2*T2))/1000</f>
        <v>372864.071469498</v>
      </c>
      <c r="AY2" s="10" t="n">
        <v>1</v>
      </c>
      <c r="AZ2" s="17" t="n">
        <v>1</v>
      </c>
      <c r="BA2" s="32" t="n">
        <f aca="false">ATAN(0.99664719*TAN($A$4*input!$E$2))</f>
        <v>-0.400219206115995</v>
      </c>
      <c r="BB2" s="32" t="n">
        <f aca="false">COS(BA2)</f>
        <v>0.920975608992155</v>
      </c>
      <c r="BC2" s="32" t="n">
        <f aca="false">0.99664719*SIN(BA2)</f>
        <v>-0.388313912533463</v>
      </c>
      <c r="BD2" s="32" t="n">
        <f aca="false">6378.14/AX2</f>
        <v>0.0171058047369999</v>
      </c>
      <c r="BE2" s="33" t="n">
        <f aca="false">MOD(N2-15*AH2,360)</f>
        <v>120.025337504856</v>
      </c>
      <c r="BF2" s="27" t="n">
        <f aca="false">COS($A$4*AG2)*SIN($A$4*BE2)</f>
        <v>0.787361093531686</v>
      </c>
      <c r="BG2" s="27" t="n">
        <f aca="false">COS($A$4*AG2)*COS($A$4*BE2)-BB2*BD2</f>
        <v>-0.470801538951848</v>
      </c>
      <c r="BH2" s="27" t="n">
        <f aca="false">SIN($A$4*AG2)-BC2*BD2</f>
        <v>-0.40928337913475</v>
      </c>
      <c r="BI2" s="46" t="n">
        <f aca="false">SQRT(BF2^2+BG2^2+BH2^2)</f>
        <v>1.00454191805161</v>
      </c>
      <c r="BJ2" s="35" t="n">
        <f aca="false">AX2*BI2</f>
        <v>374557.589526501</v>
      </c>
    </row>
    <row r="3" customFormat="false" ht="15" hidden="false" customHeight="false" outlineLevel="0" collapsed="false">
      <c r="A3" s="101"/>
      <c r="B3" s="101"/>
      <c r="C3" s="15" t="n">
        <f aca="false">MOD(C2+3,24)</f>
        <v>3</v>
      </c>
      <c r="D3" s="17" t="n">
        <v>1</v>
      </c>
      <c r="E3" s="102" t="n">
        <f aca="false">input!$C$2</f>
        <v>10</v>
      </c>
      <c r="F3" s="102" t="n">
        <f aca="false">input!$D$2</f>
        <v>2022</v>
      </c>
      <c r="G3" s="36" t="s">
        <v>74</v>
      </c>
      <c r="H3" s="39" t="n">
        <f aca="false">AM3</f>
        <v>-40.1404298842437</v>
      </c>
      <c r="I3" s="48" t="n">
        <f aca="false">H3+1.02/(TAN($A$4*(H3+10.3/(H3+5.11)))*60)</f>
        <v>-40.1603804933079</v>
      </c>
      <c r="J3" s="39" t="n">
        <f aca="false">100*(1+COS($A$4*AQ3))/2</f>
        <v>29.3094688641183</v>
      </c>
      <c r="K3" s="48" t="n">
        <f aca="false">IF(AI3&gt;180,AT3-180,AT3+180)</f>
        <v>199.738371579223</v>
      </c>
      <c r="L3" s="10" t="n">
        <f aca="false">L2+1/8</f>
        <v>2459853.625</v>
      </c>
      <c r="M3" s="49" t="n">
        <f aca="false">(L3-2451545)/36525</f>
        <v>0.227477754962355</v>
      </c>
      <c r="N3" s="15" t="n">
        <f aca="false">MOD(280.46061837+360.98564736629*(L3-2451545)+0.000387933*M3^2-M3^3/38710000+$G$4,360)</f>
        <v>54.8349871849641</v>
      </c>
      <c r="O3" s="18" t="n">
        <f aca="false">0.60643382+1336.85522467*M3 - 0.00000313*M3^2 - INT(0.60643382+1336.85522467*M3 - 0.00000313*M3^2)</f>
        <v>0.711258875660349</v>
      </c>
      <c r="P3" s="15" t="n">
        <f aca="false">22640*SIN(Q3)-4586*SIN(Q3-2*S3)+2370*SIN(2*S3)+769*SIN(2*Q3)-668*SIN(R3)-412*SIN(2*T3)-212*SIN(2*Q3-2*S3)-206*SIN(Q3+R3-2*S3)+192*SIN(Q3+2*S3)-165*SIN(R3-2*S3)-125*SIN(S3)-110*SIN(Q3+R3)+148*SIN(Q3-R3)-55*SIN(2*T3-2*S3)</f>
        <v>-9831.51918425237</v>
      </c>
      <c r="Q3" s="18" t="n">
        <f aca="false">2*PI()*(0.374897+1325.55241*M3 - INT(0.374897+1325.55241*M3))</f>
        <v>5.70879731466416</v>
      </c>
      <c r="R3" s="26" t="n">
        <f aca="false">2*PI()*(0.99312619+99.99735956*M3 - 0.00000044*M3^2 - INT(0.99312619+99.99735956*M3- 0.00000044*M3^2))</f>
        <v>4.65144850497294</v>
      </c>
      <c r="S3" s="26" t="n">
        <f aca="false">2*PI()*(0.827361+1236.853086*M3 - INT(0.827361+1236.853086*M3))</f>
        <v>1.15562996641491</v>
      </c>
      <c r="T3" s="26" t="n">
        <f aca="false">2*PI()*(0.259086+1342.227825*M3 - INT(0.259086+1342.227825*M3))</f>
        <v>3.68231276778974</v>
      </c>
      <c r="U3" s="26" t="n">
        <f aca="false">T3+(P3+412*SIN(2*T3)+541*SIN(R3))/206264.8062</f>
        <v>3.63379324960888</v>
      </c>
      <c r="V3" s="26" t="n">
        <f aca="false">T3-2*S3</f>
        <v>1.37105283495992</v>
      </c>
      <c r="W3" s="25" t="n">
        <f aca="false">-526*SIN(V3)+44*SIN(Q3+V3)-31*SIN(-Q3+V3)-23*SIN(R3+V3)+11*SIN(-R3+V3)-25*SIN(-2*Q3+T3)+21*SIN(-Q3+T3)</f>
        <v>-499.51337649121</v>
      </c>
      <c r="X3" s="26" t="n">
        <f aca="false">2*PI()*(O3+P3/1296000-INT(O3+P3/1296000))</f>
        <v>4.42130676708401</v>
      </c>
      <c r="Y3" s="26" t="n">
        <f aca="false">(18520*SIN(U3)+W3)/206264.8062</f>
        <v>-0.0448522623521582</v>
      </c>
      <c r="Z3" s="26" t="n">
        <f aca="false">Y3*180/PI()</f>
        <v>-2.56984533439218</v>
      </c>
      <c r="AA3" s="26" t="n">
        <f aca="false">COS(Y3)*COS(X3)</f>
        <v>-0.286700458490916</v>
      </c>
      <c r="AB3" s="26" t="n">
        <f aca="false">COS(Y3)*SIN(X3)</f>
        <v>-0.95697046470321</v>
      </c>
      <c r="AC3" s="26" t="n">
        <f aca="false">SIN(Y3)</f>
        <v>-0.0448372254585545</v>
      </c>
      <c r="AD3" s="26" t="n">
        <f aca="false">COS($A$4*(23.4393-46.815*M3/3600))*AB3-SIN($A$4*(23.4393-46.815*M3/3600))*AC3</f>
        <v>-0.860189721977856</v>
      </c>
      <c r="AE3" s="26" t="n">
        <f aca="false">SIN($A$4*(23.4393-46.815*M3/3600))*AB3+COS($A$4*(23.4393-46.815*M3/3600))*AC3</f>
        <v>-0.421754062582398</v>
      </c>
      <c r="AF3" s="26" t="n">
        <f aca="false">SQRT(1-AE3*AE3)</f>
        <v>0.9067102683301</v>
      </c>
      <c r="AG3" s="10" t="n">
        <f aca="false">ATAN(AE3/AF3)/$A$4</f>
        <v>-24.9453784141501</v>
      </c>
      <c r="AH3" s="26" t="n">
        <f aca="false">IF(24*ATAN(AD3/(AA3+AF3))/PI()&gt;0,24*ATAN(AD3/(AA3+AF3))/PI(),24*ATAN(AD3/(AA3+AF3))/PI()+24)</f>
        <v>16.7711211052334</v>
      </c>
      <c r="AI3" s="10" t="n">
        <f aca="false">IF(N3-15*AH3&gt;0,N3-15*AH3,360+N3-15*AH3)</f>
        <v>163.268170606463</v>
      </c>
      <c r="AJ3" s="18" t="n">
        <f aca="false">0.950724+0.051818*COS(Q3)+0.009531*COS(2*S3-Q3)+0.007843*COS(2*S3)+0.002824*COS(2*Q3)+0.000857*COS(2*S3+Q3)+0.000533*COS(2*S3-R3)+0.000401*COS(2*S3-R3-Q3)+0.00032*COS(Q3-R3)-0.000271*COS(S3)</f>
        <v>0.980329269754347</v>
      </c>
      <c r="AK3" s="50" t="n">
        <f aca="false">ASIN(COS($A$4*$G$2)*COS($A$4*AG3)*COS($A$4*AI3)+SIN($A$4*$G$2)*SIN($A$4*AG3))/$A$4</f>
        <v>-39.3831132877659</v>
      </c>
      <c r="AL3" s="18" t="n">
        <f aca="false">ASIN((0.9983271+0.0016764*COS($A$4*2*$G$2))*COS($A$4*AK3)*SIN($A$4*AJ3))/$A$4</f>
        <v>0.757316596477726</v>
      </c>
      <c r="AM3" s="18" t="n">
        <f aca="false">AK3-AL3</f>
        <v>-40.1404298842437</v>
      </c>
      <c r="AN3" s="10" t="n">
        <f aca="false"> IF(280.4664567 + 360007.6982779*M3/10 + 0.03032028*M3^2/100 + M3^3/49931000&lt;0,MOD(280.4664567 + 360007.6982779*M3/10 + 0.03032028*M3^2/100 + M3^3/49931000+360,360),MOD(280.4664567 + 360007.6982779*M3/10 + 0.03032028*M3^2/100 + M3^3/49931000,360))</f>
        <v>189.840769731949</v>
      </c>
      <c r="AO3" s="27" t="n">
        <f aca="false"> AN3 + (1.9146 - 0.004817*M3 - 0.000014*M3^2)*SIN(R3)+ (0.019993 - 0.000101*M3)*SIN(2*R3)+ 0.00029*SIN(3*R3)</f>
        <v>187.933531357059</v>
      </c>
      <c r="AP3" s="18" t="n">
        <f aca="false">ACOS(COS(X3-$A$4*AO3)*COS(Y3))/$A$4</f>
        <v>65.4150787342968</v>
      </c>
      <c r="AQ3" s="25" t="n">
        <f aca="false">180 - AP3 -0.1468*(1-0.0549*SIN(R3))*SIN($A$4*AP3)/(1-0.0167*SIN($A$4*AO3))</f>
        <v>114.444438038215</v>
      </c>
      <c r="AR3" s="25" t="n">
        <f aca="false">SIN($A$4*AI3)</f>
        <v>0.287892572424054</v>
      </c>
      <c r="AS3" s="25" t="n">
        <f aca="false">COS($A$4*AI3)*SIN($A$4*$G$2) - TAN($A$4*AG3)*COS($A$4*$G$2)</f>
        <v>0.802359211613108</v>
      </c>
      <c r="AT3" s="25" t="n">
        <f aca="false">IF(OR(AND(AR3*AS3&gt;0), AND(AR3&lt;0,AS3&gt;0)), MOD(ATAN2(AS3,AR3)/$A$4+360,360),  ATAN2(AS3,AR3)/$A$4)</f>
        <v>19.7383715792233</v>
      </c>
      <c r="AU3" s="29" t="n">
        <f aca="false">(1+SIN($A$4*H3)*SIN($A$4*AJ3))*120*ASIN(0.272481*SIN($A$4*AJ3))/$A$4</f>
        <v>31.6995503588126</v>
      </c>
      <c r="AV3" s="10" t="n">
        <f aca="false">COS(X3)</f>
        <v>-0.286989081718234</v>
      </c>
      <c r="AW3" s="10" t="n">
        <f aca="false">SIN(X3)</f>
        <v>-0.957933853131063</v>
      </c>
      <c r="AX3" s="30" t="n">
        <f aca="false"> 385000.56 + (-20905355*COS(Q3) - 3699111*COS(2*S3-Q3) - 2955968*COS(2*S3) - 569925*COS(2*Q3) + (1-0.002516*M3)*48888*COS(R3) - 3149*COS(2*T3)  +246158*COS(2*S3-2*Q3) -(1-0.002516*M3)*152138*COS(2*S3-R3-Q3) -170733*COS(2*S3+Q3) -(1-0.002516*M3)*204586*COS(2*S3-R3) -(1-0.002516*M3)*129620*COS(R3-Q3)  + 108743*COS(S3) +(1-0.002516*M3)*104755*COS(R3+Q3) +10321*COS(2*S3-2*T3) +79661*COS(Q3-2*T3) -34782*COS(4*S3-Q3) -23210*COS(3*Q3)  -21636*COS(4*S3-2*Q3) +(1-0.002516*M3)*24208*COS(2*S3+R3-Q3) +(1-0.002516*M3)*30824*COS(2*S3+R3) -8379*COS(S3-Q3) -(1-0.002516*M3)*16675*COS(S3+R3)  -(1-0.002516*M3)*12831*COS(2*S3-R3+Q3) -10445*COS(2*S3+2*Q3) -11650*COS(4*S3) +14403*COS(2*S3-3*Q3) -(1-0.002516*M3)*7003*COS(R3-2*Q3)  + (1-0.002516*M3)*10056*COS(2*S3-R3-2*Q3) +6322*COS(S3+Q3) -(1-0.002516*M3)*(1-0.002516*M3)*9884*COS(2*S3-2*R3) +(1-0.002516*M3)*5751*COS(R3+2*Q3) -(1-0.002516*M3)*(1-0.002516*M3)*4950*COS(2*S3-2*R3-Q3)  +4130*COS(2*S3+Q3-2*T3) -(1-0.002516*M3)*3958*COS(4*S3-R3-Q3) +3258*COS(3*S3-Q3) +(1-0.002516*M3)*2616*COS(2*S3+R3+Q3) -(1-0.002516*M3)*1897*COS(4*S3-R3-2*Q3)  -(1-0.002516*M3)*(1-0.002516*M3)*2117*COS(2*R3-Q3) +(1-0.002516*M3)*(1-0.002516*M3)*2354*COS(2*S3+2*R3-Q3) -1423*COS(4*S3+Q3) -1117*COS(4*Q3) -(1-0.002516*M3)*1571*COS(4*S3-R3)  -1739*COS(S3-2*Q3) -4421*COS(2*Q3-2*T3) +(1-0.002516*M3)*(1-0.002516*M3)*1165*COS(2*R3+Q3) +8752*COS(2*S3-Q3-2*T3))/1000</f>
        <v>372642.432188279</v>
      </c>
      <c r="AY3" s="10" t="n">
        <f aca="false">AY2+1/8</f>
        <v>1.125</v>
      </c>
      <c r="AZ3" s="17" t="n">
        <f aca="false">AZ2+1</f>
        <v>2</v>
      </c>
      <c r="BA3" s="32" t="n">
        <f aca="false">ATAN(0.99664719*TAN($A$4*input!$E$2))</f>
        <v>-0.400219206115995</v>
      </c>
      <c r="BB3" s="32" t="n">
        <f aca="false">COS(BA3)</f>
        <v>0.920975608992155</v>
      </c>
      <c r="BC3" s="32" t="n">
        <f aca="false">0.99664719*SIN(BA3)</f>
        <v>-0.388313912533463</v>
      </c>
      <c r="BD3" s="32" t="n">
        <f aca="false">6378.14/AX3</f>
        <v>0.0171159788823443</v>
      </c>
      <c r="BE3" s="33" t="n">
        <f aca="false">MOD(N3-15*AH3,360)</f>
        <v>163.268170606463</v>
      </c>
      <c r="BF3" s="27" t="n">
        <f aca="false">COS($A$4*AG3)*SIN($A$4*BE3)</f>
        <v>0.261035151592857</v>
      </c>
      <c r="BG3" s="27" t="n">
        <f aca="false">COS($A$4*AG3)*COS($A$4*BE3)-BB3*BD3</f>
        <v>-0.884086012121299</v>
      </c>
      <c r="BH3" s="27" t="n">
        <f aca="false">SIN($A$4*AG3)-BC3*BD3</f>
        <v>-0.415107689855755</v>
      </c>
      <c r="BI3" s="46" t="n">
        <f aca="false">SQRT(BF3^2+BG3^2+BH3^2)</f>
        <v>1.01097073220397</v>
      </c>
      <c r="BJ3" s="35" t="n">
        <f aca="false">AX3*BI3</f>
        <v>376730.592519652</v>
      </c>
    </row>
    <row r="4" customFormat="false" ht="15" hidden="false" customHeight="false" outlineLevel="0" collapsed="false">
      <c r="A4" s="103" t="n">
        <f aca="false">PI()/180</f>
        <v>0.0174532925199433</v>
      </c>
      <c r="B4" s="101"/>
      <c r="C4" s="15" t="n">
        <f aca="false">MOD(C3+3,24)</f>
        <v>6</v>
      </c>
      <c r="D4" s="17" t="n">
        <v>1</v>
      </c>
      <c r="E4" s="102" t="n">
        <f aca="false">input!$C$2</f>
        <v>10</v>
      </c>
      <c r="F4" s="102" t="n">
        <f aca="false">input!$D$2</f>
        <v>2022</v>
      </c>
      <c r="G4" s="47" t="n">
        <f aca="false">input!$F$2</f>
        <v>0</v>
      </c>
      <c r="H4" s="39" t="n">
        <f aca="false">AM4</f>
        <v>-36.105165199014</v>
      </c>
      <c r="I4" s="48" t="n">
        <f aca="false">H4+1.02/(TAN($A$4*(H4+10.3/(H4+5.11)))*60)</f>
        <v>-36.1281918908545</v>
      </c>
      <c r="J4" s="39" t="n">
        <f aca="false">100*(1+COS($A$4*AQ4))/2</f>
        <v>30.6079890075805</v>
      </c>
      <c r="K4" s="48" t="n">
        <f aca="false">IF(AI4&gt;180,AT4-180,AT4+180)</f>
        <v>150.374730416337</v>
      </c>
      <c r="L4" s="10" t="n">
        <f aca="false">L3+1/8</f>
        <v>2459853.75</v>
      </c>
      <c r="M4" s="49" t="n">
        <f aca="false">(L4-2451545)/36525</f>
        <v>0.227481177275838</v>
      </c>
      <c r="N4" s="15" t="n">
        <f aca="false">MOD(280.46061837+360.98564736629*(L4-2451545)+0.000387933*M4^2-M4^3/38710000+$G$4,360)</f>
        <v>99.9581931061111</v>
      </c>
      <c r="O4" s="18" t="n">
        <f aca="false">0.60643382+1336.85522467*M4 - 0.00000313*M4^2 - INT(0.60643382+1336.85522467*M4 - 0.00000313*M4^2)</f>
        <v>0.715834013316908</v>
      </c>
      <c r="P4" s="15" t="n">
        <f aca="false">22640*SIN(Q4)-4586*SIN(Q4-2*S4)+2370*SIN(2*S4)+769*SIN(2*Q4)-668*SIN(R4)-412*SIN(2*T4)-212*SIN(2*Q4-2*S4)-206*SIN(Q4+R4-2*S4)+192*SIN(Q4+2*S4)-165*SIN(R4-2*S4)-125*SIN(S4)-110*SIN(Q4+R4)+148*SIN(Q4-R4)-55*SIN(2*T4-2*S4)</f>
        <v>-9480.14839648924</v>
      </c>
      <c r="Q4" s="18" t="n">
        <f aca="false">2*PI()*(0.374897+1325.55241*M4 - INT(0.374897+1325.55241*M4))</f>
        <v>5.73730070763596</v>
      </c>
      <c r="R4" s="26" t="n">
        <f aca="false">2*PI()*(0.99312619+99.99735956*M4 - 0.00000044*M4^2 - INT(0.99312619+99.99735956*M4- 0.00000044*M4^2))</f>
        <v>4.65359875117102</v>
      </c>
      <c r="S4" s="26" t="n">
        <f aca="false">2*PI()*(0.827361+1236.853086*M4 - INT(0.827361+1236.853086*M4))</f>
        <v>1.18222605517983</v>
      </c>
      <c r="T4" s="26" t="n">
        <f aca="false">2*PI()*(0.259086+1342.227825*M4 - INT(0.259086+1342.227825*M4))</f>
        <v>3.71117473270714</v>
      </c>
      <c r="U4" s="26" t="n">
        <f aca="false">T4+(P4+412*SIN(2*T4)+541*SIN(R4))/206264.8062</f>
        <v>3.6644096017439</v>
      </c>
      <c r="V4" s="26" t="n">
        <f aca="false">T4-2*S4</f>
        <v>1.34672262234748</v>
      </c>
      <c r="W4" s="25" t="n">
        <f aca="false">-526*SIN(V4)+44*SIN(Q4+V4)-31*SIN(-Q4+V4)-23*SIN(R4+V4)+11*SIN(-R4+V4)-25*SIN(-2*Q4+T4)+21*SIN(-Q4+T4)</f>
        <v>-496.402989268283</v>
      </c>
      <c r="X4" s="26" t="n">
        <f aca="false">2*PI()*(O4+P4/1296000-INT(O4+P4/1296000))</f>
        <v>4.45175669843652</v>
      </c>
      <c r="Y4" s="26" t="n">
        <f aca="false">(18520*SIN(U4)+W4)/206264.8062</f>
        <v>-0.0472395692381177</v>
      </c>
      <c r="Z4" s="26" t="n">
        <f aca="false">Y4*180/PI()</f>
        <v>-2.70662794336018</v>
      </c>
      <c r="AA4" s="26" t="n">
        <f aca="false">COS(Y4)*COS(X4)</f>
        <v>-0.257404055633305</v>
      </c>
      <c r="AB4" s="26" t="n">
        <f aca="false">COS(Y4)*SIN(X4)</f>
        <v>-0.96514933286325</v>
      </c>
      <c r="AC4" s="26" t="n">
        <f aca="false">SIN(Y4)</f>
        <v>-0.0472220014098364</v>
      </c>
      <c r="AD4" s="26" t="n">
        <f aca="false">COS($A$4*(23.4393-46.815*M4/3600))*AB4-SIN($A$4*(23.4393-46.815*M4/3600))*AC4</f>
        <v>-0.866745357821331</v>
      </c>
      <c r="AE4" s="26" t="n">
        <f aca="false">SIN($A$4*(23.4393-46.815*M4/3600))*AB4+COS($A$4*(23.4393-46.815*M4/3600))*AC4</f>
        <v>-0.427195080541315</v>
      </c>
      <c r="AF4" s="26" t="n">
        <f aca="false">SQRT(1-AE4*AE4)</f>
        <v>0.904159478831749</v>
      </c>
      <c r="AG4" s="10" t="n">
        <f aca="false">ATAN(AE4/AF4)/$A$4</f>
        <v>-25.2896841574593</v>
      </c>
      <c r="AH4" s="26" t="n">
        <f aca="false">IF(24*ATAN(AD4/(AA4+AF4))/PI()&gt;0,24*ATAN(AD4/(AA4+AF4))/PI(),24*ATAN(AD4/(AA4+AF4))/PI()+24)</f>
        <v>16.8973169230087</v>
      </c>
      <c r="AI4" s="10" t="n">
        <f aca="false">IF(N4-15*AH4&gt;0,N4-15*AH4,360+N4-15*AH4)</f>
        <v>206.49843926098</v>
      </c>
      <c r="AJ4" s="18" t="n">
        <f aca="false">0.950724+0.051818*COS(Q4)+0.009531*COS(2*S4-Q4)+0.007843*COS(2*S4)+0.002824*COS(2*Q4)+0.000857*COS(2*S4+Q4)+0.000533*COS(2*S4-R4)+0.000401*COS(2*S4-R4-Q4)+0.00032*COS(Q4-R4)-0.000271*COS(S4)</f>
        <v>0.980861435501466</v>
      </c>
      <c r="AK4" s="50" t="n">
        <f aca="false">ASIN(COS($A$4*$G$2)*COS($A$4*AG4)*COS($A$4*AI4)+SIN($A$4*$G$2)*SIN($A$4*AG4))/$A$4</f>
        <v>-35.3051179606306</v>
      </c>
      <c r="AL4" s="18" t="n">
        <f aca="false">ASIN((0.9983271+0.0016764*COS($A$4*2*$G$2))*COS($A$4*AK4)*SIN($A$4*AJ4))/$A$4</f>
        <v>0.800047238383453</v>
      </c>
      <c r="AM4" s="18" t="n">
        <f aca="false">AK4-AL4</f>
        <v>-36.105165199014</v>
      </c>
      <c r="AN4" s="10" t="n">
        <f aca="false"> IF(280.4664567 + 360007.6982779*M4/10 + 0.03032028*M4^2/100 + M4^3/49931000&lt;0,MOD(280.4664567 + 360007.6982779*M4/10 + 0.03032028*M4^2/100 + M4^3/49931000+360,360),MOD(280.4664567 + 360007.6982779*M4/10 + 0.03032028*M4^2/100 + M4^3/49931000,360))</f>
        <v>189.963975652436</v>
      </c>
      <c r="AO4" s="27" t="n">
        <f aca="false"> AN4 + (1.9146 - 0.004817*M4 - 0.000014*M4^2)*SIN(R4)+ (0.019993 - 0.000101*M4)*SIN(2*R4)+ 0.00029*SIN(3*R4)</f>
        <v>188.056406193051</v>
      </c>
      <c r="AP4" s="18" t="n">
        <f aca="false">ACOS(COS(X4-$A$4*AO4)*COS(Y4))/$A$4</f>
        <v>67.0375791654246</v>
      </c>
      <c r="AQ4" s="25" t="n">
        <f aca="false">180 - AP4 -0.1468*(1-0.0549*SIN(R4))*SIN($A$4*AP4)/(1-0.0167*SIN($A$4*AO4))</f>
        <v>112.820178158482</v>
      </c>
      <c r="AR4" s="25" t="n">
        <f aca="false">SIN($A$4*AI4)</f>
        <v>-0.446173434901243</v>
      </c>
      <c r="AS4" s="25" t="n">
        <f aca="false">COS($A$4*AI4)*SIN($A$4*$G$2) - TAN($A$4*AG4)*COS($A$4*$G$2)</f>
        <v>0.78460136557345</v>
      </c>
      <c r="AT4" s="25" t="n">
        <f aca="false">IF(OR(AND(AR4*AS4&gt;0), AND(AR4&lt;0,AS4&gt;0)), MOD(ATAN2(AS4,AR4)/$A$4+360,360),  ATAN2(AS4,AR4)/$A$4)</f>
        <v>330.374730416337</v>
      </c>
      <c r="AU4" s="29" t="n">
        <f aca="false">(1+SIN($A$4*H4)*SIN($A$4*AJ4))*120*ASIN(0.272481*SIN($A$4*AJ4))/$A$4</f>
        <v>31.7469758202368</v>
      </c>
      <c r="AV4" s="10" t="n">
        <f aca="false">COS(X4)</f>
        <v>-0.257691531401616</v>
      </c>
      <c r="AW4" s="10" t="n">
        <f aca="false">SIN(X4)</f>
        <v>-0.966227237581248</v>
      </c>
      <c r="AX4" s="30" t="n">
        <f aca="false"> 385000.56 + (-20905355*COS(Q4) - 3699111*COS(2*S4-Q4) - 2955968*COS(2*S4) - 569925*COS(2*Q4) + (1-0.002516*M4)*48888*COS(R4) - 3149*COS(2*T4)  +246158*COS(2*S4-2*Q4) -(1-0.002516*M4)*152138*COS(2*S4-R4-Q4) -170733*COS(2*S4+Q4) -(1-0.002516*M4)*204586*COS(2*S4-R4) -(1-0.002516*M4)*129620*COS(R4-Q4)  + 108743*COS(S4) +(1-0.002516*M4)*104755*COS(R4+Q4) +10321*COS(2*S4-2*T4) +79661*COS(Q4-2*T4) -34782*COS(4*S4-Q4) -23210*COS(3*Q4)  -21636*COS(4*S4-2*Q4) +(1-0.002516*M4)*24208*COS(2*S4+R4-Q4) +(1-0.002516*M4)*30824*COS(2*S4+R4) -8379*COS(S4-Q4) -(1-0.002516*M4)*16675*COS(S4+R4)  -(1-0.002516*M4)*12831*COS(2*S4-R4+Q4) -10445*COS(2*S4+2*Q4) -11650*COS(4*S4) +14403*COS(2*S4-3*Q4) -(1-0.002516*M4)*7003*COS(R4-2*Q4)  + (1-0.002516*M4)*10056*COS(2*S4-R4-2*Q4) +6322*COS(S4+Q4) -(1-0.002516*M4)*(1-0.002516*M4)*9884*COS(2*S4-2*R4) +(1-0.002516*M4)*5751*COS(R4+2*Q4) -(1-0.002516*M4)*(1-0.002516*M4)*4950*COS(2*S4-2*R4-Q4)  +4130*COS(2*S4+Q4-2*T4) -(1-0.002516*M4)*3958*COS(4*S4-R4-Q4) +3258*COS(3*S4-Q4) +(1-0.002516*M4)*2616*COS(2*S4+R4+Q4) -(1-0.002516*M4)*1897*COS(4*S4-R4-2*Q4)  -(1-0.002516*M4)*(1-0.002516*M4)*2117*COS(2*R4-Q4) +(1-0.002516*M4)*(1-0.002516*M4)*2354*COS(2*S4+2*R4-Q4) -1423*COS(4*S4+Q4) -1117*COS(4*Q4) -(1-0.002516*M4)*1571*COS(4*S4-R4)  -1739*COS(S4-2*Q4) -4421*COS(2*Q4-2*T4) +(1-0.002516*M4)*(1-0.002516*M4)*1165*COS(2*R4+Q4) +8752*COS(2*S4-Q4-2*T4))/1000</f>
        <v>372427.557886266</v>
      </c>
      <c r="AY4" s="10" t="n">
        <f aca="false">AY3+1/8</f>
        <v>1.25</v>
      </c>
      <c r="AZ4" s="17" t="n">
        <f aca="false">AZ3+1</f>
        <v>3</v>
      </c>
      <c r="BA4" s="32" t="n">
        <f aca="false">ATAN(0.99664719*TAN($A$4*input!$E$2))</f>
        <v>-0.400219206115995</v>
      </c>
      <c r="BB4" s="32" t="n">
        <f aca="false">COS(BA4)</f>
        <v>0.920975608992155</v>
      </c>
      <c r="BC4" s="32" t="n">
        <f aca="false">0.99664719*SIN(BA4)</f>
        <v>-0.388313912533463</v>
      </c>
      <c r="BD4" s="32" t="n">
        <f aca="false">6378.14/AX4</f>
        <v>0.0171258540485014</v>
      </c>
      <c r="BE4" s="33" t="n">
        <f aca="false">MOD(N4-15*AH4,360)</f>
        <v>206.49843926098</v>
      </c>
      <c r="BF4" s="27" t="n">
        <f aca="false">COS($A$4*AG4)*SIN($A$4*BE4)</f>
        <v>-0.403411940368879</v>
      </c>
      <c r="BG4" s="27" t="n">
        <f aca="false">COS($A$4*AG4)*COS($A$4*BE4)-BB4*BD4</f>
        <v>-0.824946869091987</v>
      </c>
      <c r="BH4" s="27" t="n">
        <f aca="false">SIN($A$4*AG4)-BC4*BD4</f>
        <v>-0.420544873150264</v>
      </c>
      <c r="BI4" s="46" t="n">
        <f aca="false">SQRT(BF4^2+BG4^2+BH4^2)</f>
        <v>1.01001807943711</v>
      </c>
      <c r="BJ4" s="35" t="n">
        <f aca="false">AX4*BI4</f>
        <v>376158.566745739</v>
      </c>
    </row>
    <row r="5" customFormat="false" ht="15" hidden="false" customHeight="false" outlineLevel="0" collapsed="false">
      <c r="A5" s="103" t="s">
        <v>75</v>
      </c>
      <c r="B5" s="101"/>
      <c r="C5" s="15" t="n">
        <f aca="false">MOD(C4+3,24)</f>
        <v>9</v>
      </c>
      <c r="D5" s="17" t="n">
        <v>1</v>
      </c>
      <c r="E5" s="102" t="n">
        <f aca="false">input!$C$2</f>
        <v>10</v>
      </c>
      <c r="F5" s="102" t="n">
        <f aca="false">input!$D$2</f>
        <v>2022</v>
      </c>
      <c r="G5" s="101"/>
      <c r="H5" s="39" t="n">
        <f aca="false">AM5</f>
        <v>-7.80048134668683</v>
      </c>
      <c r="I5" s="48" t="n">
        <f aca="false">H5+1.02/(TAN($A$4*(H5+10.3/(H5+5.11)))*60)</f>
        <v>-7.88308811529145</v>
      </c>
      <c r="J5" s="39" t="n">
        <f aca="false">100*(1+COS($A$4*AQ5))/2</f>
        <v>31.9232845718826</v>
      </c>
      <c r="K5" s="48" t="n">
        <f aca="false">IF(AI5&gt;180,AT5-180,AT5+180)</f>
        <v>121.583401210615</v>
      </c>
      <c r="L5" s="10" t="n">
        <f aca="false">L4+1/8</f>
        <v>2459853.875</v>
      </c>
      <c r="M5" s="49" t="n">
        <f aca="false">(L5-2451545)/36525</f>
        <v>0.227484599589322</v>
      </c>
      <c r="N5" s="15" t="n">
        <f aca="false">MOD(280.46061837+360.98564736629*(L5-2451545)+0.000387933*M5^2-M5^3/38710000+$G$4,360)</f>
        <v>145.081399027724</v>
      </c>
      <c r="O5" s="18" t="n">
        <f aca="false">0.60643382+1336.85522467*M5 - 0.00000313*M5^2 - INT(0.60643382+1336.85522467*M5 - 0.00000313*M5^2)</f>
        <v>0.72040915097341</v>
      </c>
      <c r="P5" s="15" t="n">
        <f aca="false">22640*SIN(Q5)-4586*SIN(Q5-2*S5)+2370*SIN(2*S5)+769*SIN(2*Q5)-668*SIN(R5)-412*SIN(2*T5)-212*SIN(2*Q5-2*S5)-206*SIN(Q5+R5-2*S5)+192*SIN(Q5+2*S5)-165*SIN(R5-2*S5)-125*SIN(S5)-110*SIN(Q5+R5)+148*SIN(Q5-R5)-55*SIN(2*T5-2*S5)</f>
        <v>-9122.0190173972</v>
      </c>
      <c r="Q5" s="18" t="n">
        <f aca="false">2*PI()*(0.374897+1325.55241*M5 - INT(0.374897+1325.55241*M5))</f>
        <v>5.76580410060776</v>
      </c>
      <c r="R5" s="26" t="n">
        <f aca="false">2*PI()*(0.99312619+99.99735956*M5 - 0.00000044*M5^2 - INT(0.99312619+99.99735956*M5- 0.00000044*M5^2))</f>
        <v>4.65574899736915</v>
      </c>
      <c r="S5" s="26" t="n">
        <f aca="false">2*PI()*(0.827361+1236.853086*M5 - INT(0.827361+1236.853086*M5))</f>
        <v>1.20882214394475</v>
      </c>
      <c r="T5" s="26" t="n">
        <f aca="false">2*PI()*(0.259086+1342.227825*M5 - INT(0.259086+1342.227825*M5))</f>
        <v>3.7400366976249</v>
      </c>
      <c r="U5" s="26" t="n">
        <f aca="false">T5+(P5+412*SIN(2*T5)+541*SIN(R5))/206264.8062</f>
        <v>3.69505268910972</v>
      </c>
      <c r="V5" s="26" t="n">
        <f aca="false">T5-2*S5</f>
        <v>1.3223924097354</v>
      </c>
      <c r="W5" s="25" t="n">
        <f aca="false">-526*SIN(V5)+44*SIN(Q5+V5)-31*SIN(-Q5+V5)-23*SIN(R5+V5)+11*SIN(-R5+V5)-25*SIN(-2*Q5+T5)+21*SIN(-Q5+T5)</f>
        <v>-492.931654361873</v>
      </c>
      <c r="X5" s="26" t="n">
        <f aca="false">2*PI()*(O5+P5/1296000-INT(O5+P5/1296000))</f>
        <v>4.48223939636409</v>
      </c>
      <c r="Y5" s="26" t="n">
        <f aca="false">(18520*SIN(U5)+W5)/206264.8062</f>
        <v>-0.0495851469723282</v>
      </c>
      <c r="Z5" s="26" t="n">
        <f aca="false">Y5*180/PI()</f>
        <v>-2.8410196480503</v>
      </c>
      <c r="AA5" s="26" t="n">
        <f aca="false">COS(Y5)*COS(X5)</f>
        <v>-0.2278427816649</v>
      </c>
      <c r="AB5" s="26" t="n">
        <f aca="false">COS(Y5)*SIN(X5)</f>
        <v>-0.972435599116669</v>
      </c>
      <c r="AC5" s="26" t="n">
        <f aca="false">SIN(Y5)</f>
        <v>-0.0495648304123669</v>
      </c>
      <c r="AD5" s="26" t="n">
        <f aca="false">COS($A$4*(23.4393-46.815*M5/3600))*AB5-SIN($A$4*(23.4393-46.815*M5/3600))*AC5</f>
        <v>-0.872498712716414</v>
      </c>
      <c r="AE5" s="26" t="n">
        <f aca="false">SIN($A$4*(23.4393-46.815*M5/3600))*AB5+COS($A$4*(23.4393-46.815*M5/3600))*AC5</f>
        <v>-0.432242597566924</v>
      </c>
      <c r="AF5" s="26" t="n">
        <f aca="false">SQRT(1-AE5*AE5)</f>
        <v>0.901757360296326</v>
      </c>
      <c r="AG5" s="10" t="n">
        <f aca="false">ATAN(AE5/AF5)/$A$4</f>
        <v>-25.6099654276137</v>
      </c>
      <c r="AH5" s="26" t="n">
        <f aca="false">IF(24*ATAN(AD5/(AA5+AF5))/PI()&gt;0,24*ATAN(AD5/(AA5+AF5))/PI(),24*ATAN(AD5/(AA5+AF5))/PI()+24)</f>
        <v>17.0243142445399</v>
      </c>
      <c r="AI5" s="10" t="n">
        <f aca="false">IF(N5-15*AH5&gt;0,N5-15*AH5,360+N5-15*AH5)</f>
        <v>249.716685359626</v>
      </c>
      <c r="AJ5" s="18" t="n">
        <f aca="false">0.950724+0.051818*COS(Q5)+0.009531*COS(2*S5-Q5)+0.007843*COS(2*S5)+0.002824*COS(2*Q5)+0.000857*COS(2*S5+Q5)+0.000533*COS(2*S5-R5)+0.000401*COS(2*S5-R5-Q5)+0.00032*COS(Q5-R5)-0.000271*COS(S5)</f>
        <v>0.981377184512027</v>
      </c>
      <c r="AK5" s="50" t="n">
        <f aca="false">ASIN(COS($A$4*$G$2)*COS($A$4*AG5)*COS($A$4*AI5)+SIN($A$4*$G$2)*SIN($A$4*AG5))/$A$4</f>
        <v>-6.82655770815659</v>
      </c>
      <c r="AL5" s="18" t="n">
        <f aca="false">ASIN((0.9983271+0.0016764*COS($A$4*2*$G$2))*COS($A$4*AK5)*SIN($A$4*AJ5))/$A$4</f>
        <v>0.973923638530243</v>
      </c>
      <c r="AM5" s="18" t="n">
        <f aca="false">AK5-AL5</f>
        <v>-7.80048134668683</v>
      </c>
      <c r="AN5" s="10" t="n">
        <f aca="false"> IF(280.4664567 + 360007.6982779*M5/10 + 0.03032028*M5^2/100 + M5^3/49931000&lt;0,MOD(280.4664567 + 360007.6982779*M5/10 + 0.03032028*M5^2/100 + M5^3/49931000+360,360),MOD(280.4664567 + 360007.6982779*M5/10 + 0.03032028*M5^2/100 + M5^3/49931000,360))</f>
        <v>190.087181572919</v>
      </c>
      <c r="AO5" s="27" t="n">
        <f aca="false"> AN5 + (1.9146 - 0.004817*M5 - 0.000014*M5^2)*SIN(R5)+ (0.019993 - 0.000101*M5)*SIN(2*R5)+ 0.00029*SIN(3*R5)</f>
        <v>188.179289805749</v>
      </c>
      <c r="AP5" s="18" t="n">
        <f aca="false">ACOS(COS(X5-$A$4*AO5)*COS(Y5))/$A$4</f>
        <v>68.6616574163373</v>
      </c>
      <c r="AQ5" s="25" t="n">
        <f aca="false">180 - AP5 -0.1468*(1-0.0549*SIN(R5))*SIN($A$4*AP5)/(1-0.0167*SIN($A$4*AO5))</f>
        <v>111.194453099837</v>
      </c>
      <c r="AR5" s="25" t="n">
        <f aca="false">SIN($A$4*AI5)</f>
        <v>-0.937989927520472</v>
      </c>
      <c r="AS5" s="25" t="n">
        <f aca="false">COS($A$4*AI5)*SIN($A$4*$G$2) - TAN($A$4*AG5)*COS($A$4*$G$2)</f>
        <v>0.57668073461813</v>
      </c>
      <c r="AT5" s="25" t="n">
        <f aca="false">IF(OR(AND(AR5*AS5&gt;0), AND(AR5&lt;0,AS5&gt;0)), MOD(ATAN2(AS5,AR5)/$A$4+360,360),  ATAN2(AS5,AR5)/$A$4)</f>
        <v>301.583401210615</v>
      </c>
      <c r="AU5" s="29" t="n">
        <f aca="false">(1+SIN($A$4*H5)*SIN($A$4*AJ5))*120*ASIN(0.272481*SIN($A$4*AJ5))/$A$4</f>
        <v>32.0127536035418</v>
      </c>
      <c r="AV5" s="10" t="n">
        <f aca="false">COS(X5)</f>
        <v>-0.228123165918187</v>
      </c>
      <c r="AW5" s="10" t="n">
        <f aca="false">SIN(X5)</f>
        <v>-0.973632282317849</v>
      </c>
      <c r="AX5" s="30" t="n">
        <f aca="false"> 385000.56 + (-20905355*COS(Q5) - 3699111*COS(2*S5-Q5) - 2955968*COS(2*S5) - 569925*COS(2*Q5) + (1-0.002516*M5)*48888*COS(R5) - 3149*COS(2*T5)  +246158*COS(2*S5-2*Q5) -(1-0.002516*M5)*152138*COS(2*S5-R5-Q5) -170733*COS(2*S5+Q5) -(1-0.002516*M5)*204586*COS(2*S5-R5) -(1-0.002516*M5)*129620*COS(R5-Q5)  + 108743*COS(S5) +(1-0.002516*M5)*104755*COS(R5+Q5) +10321*COS(2*S5-2*T5) +79661*COS(Q5-2*T5) -34782*COS(4*S5-Q5) -23210*COS(3*Q5)  -21636*COS(4*S5-2*Q5) +(1-0.002516*M5)*24208*COS(2*S5+R5-Q5) +(1-0.002516*M5)*30824*COS(2*S5+R5) -8379*COS(S5-Q5) -(1-0.002516*M5)*16675*COS(S5+R5)  -(1-0.002516*M5)*12831*COS(2*S5-R5+Q5) -10445*COS(2*S5+2*Q5) -11650*COS(4*S5) +14403*COS(2*S5-3*Q5) -(1-0.002516*M5)*7003*COS(R5-2*Q5)  + (1-0.002516*M5)*10056*COS(2*S5-R5-2*Q5) +6322*COS(S5+Q5) -(1-0.002516*M5)*(1-0.002516*M5)*9884*COS(2*S5-2*R5) +(1-0.002516*M5)*5751*COS(R5+2*Q5) -(1-0.002516*M5)*(1-0.002516*M5)*4950*COS(2*S5-2*R5-Q5)  +4130*COS(2*S5+Q5-2*T5) -(1-0.002516*M5)*3958*COS(4*S5-R5-Q5) +3258*COS(3*S5-Q5) +(1-0.002516*M5)*2616*COS(2*S5+R5+Q5) -(1-0.002516*M5)*1897*COS(4*S5-R5-2*Q5)  -(1-0.002516*M5)*(1-0.002516*M5)*2117*COS(2*R5-Q5) +(1-0.002516*M5)*(1-0.002516*M5)*2354*COS(2*S5+2*R5-Q5) -1423*COS(4*S5+Q5) -1117*COS(4*Q5) -(1-0.002516*M5)*1571*COS(4*S5-R5)  -1739*COS(S5-2*Q5) -4421*COS(2*Q5-2*T5) +(1-0.002516*M5)*(1-0.002516*M5)*1165*COS(2*R5+Q5) +8752*COS(2*S5-Q5-2*T5))/1000</f>
        <v>372219.436425417</v>
      </c>
      <c r="AY5" s="10" t="n">
        <f aca="false">AY4+1/8</f>
        <v>1.375</v>
      </c>
      <c r="AZ5" s="17" t="n">
        <f aca="false">AZ4+1</f>
        <v>4</v>
      </c>
      <c r="BA5" s="32" t="n">
        <f aca="false">ATAN(0.99664719*TAN($A$4*input!$E$2))</f>
        <v>-0.400219206115995</v>
      </c>
      <c r="BB5" s="32" t="n">
        <f aca="false">COS(BA5)</f>
        <v>0.920975608992155</v>
      </c>
      <c r="BC5" s="32" t="n">
        <f aca="false">0.99664719*SIN(BA5)</f>
        <v>-0.388313912533463</v>
      </c>
      <c r="BD5" s="32" t="n">
        <f aca="false">6378.14/AX5</f>
        <v>0.0171354297380384</v>
      </c>
      <c r="BE5" s="33" t="n">
        <f aca="false">MOD(N5-15*AH5,360)</f>
        <v>249.716685359626</v>
      </c>
      <c r="BF5" s="27" t="n">
        <f aca="false">COS($A$4*AG5)*SIN($A$4*BE5)</f>
        <v>-0.845839321025403</v>
      </c>
      <c r="BG5" s="27" t="n">
        <f aca="false">COS($A$4*AG5)*COS($A$4*BE5)-BB5*BD5</f>
        <v>-0.328386782809483</v>
      </c>
      <c r="BH5" s="27" t="n">
        <f aca="false">SIN($A$4*AG5)-BC5*BD5</f>
        <v>-0.425588671802404</v>
      </c>
      <c r="BI5" s="46" t="n">
        <f aca="false">SQRT(BF5^2+BG5^2+BH5^2)</f>
        <v>1.00220145364254</v>
      </c>
      <c r="BJ5" s="35" t="n">
        <f aca="false">AX5*BI5</f>
        <v>373038.860259558</v>
      </c>
    </row>
    <row r="6" customFormat="false" ht="15" hidden="false" customHeight="false" outlineLevel="0" collapsed="false">
      <c r="A6" s="52"/>
      <c r="B6" s="101"/>
      <c r="C6" s="15" t="n">
        <f aca="false">MOD(C5+3,24)</f>
        <v>12</v>
      </c>
      <c r="D6" s="17" t="n">
        <v>1</v>
      </c>
      <c r="E6" s="102" t="n">
        <f aca="false">input!$C$2</f>
        <v>10</v>
      </c>
      <c r="F6" s="102" t="n">
        <f aca="false">input!$D$2</f>
        <v>2022</v>
      </c>
      <c r="G6" s="101"/>
      <c r="H6" s="39" t="n">
        <f aca="false">AM6</f>
        <v>28.6985723569243</v>
      </c>
      <c r="I6" s="48" t="n">
        <f aca="false">H6+1.02/(TAN($A$4*(H6+10.3/(H6+5.11)))*60)</f>
        <v>28.7292370932422</v>
      </c>
      <c r="J6" s="39" t="n">
        <f aca="false">100*(1+COS($A$4*AQ6))/2</f>
        <v>33.2542921126154</v>
      </c>
      <c r="K6" s="48" t="n">
        <f aca="false">IF(AI6&gt;180,AT6-180,AT6+180)</f>
        <v>107.754090073831</v>
      </c>
      <c r="L6" s="10" t="n">
        <f aca="false">L5+1/8</f>
        <v>2459854</v>
      </c>
      <c r="M6" s="49" t="n">
        <f aca="false">(L6-2451545)/36525</f>
        <v>0.227488021902806</v>
      </c>
      <c r="N6" s="15" t="n">
        <f aca="false">MOD(280.46061837+360.98564736629*(L6-2451545)+0.000387933*M6^2-M6^3/38710000+$G$4,360)</f>
        <v>190.204604949337</v>
      </c>
      <c r="O6" s="18" t="n">
        <f aca="false">0.60643382+1336.85522467*M6 - 0.00000313*M6^2 - INT(0.60643382+1336.85522467*M6 - 0.00000313*M6^2)</f>
        <v>0.724984288630026</v>
      </c>
      <c r="P6" s="15" t="n">
        <f aca="false">22640*SIN(Q6)-4586*SIN(Q6-2*S6)+2370*SIN(2*S6)+769*SIN(2*Q6)-668*SIN(R6)-412*SIN(2*T6)-212*SIN(2*Q6-2*S6)-206*SIN(Q6+R6-2*S6)+192*SIN(Q6+2*S6)-165*SIN(R6-2*S6)-125*SIN(S6)-110*SIN(Q6+R6)+148*SIN(Q6-R6)-55*SIN(2*T6-2*S6)</f>
        <v>-8757.25094862757</v>
      </c>
      <c r="Q6" s="18" t="n">
        <f aca="false">2*PI()*(0.374897+1325.55241*M6 - INT(0.374897+1325.55241*M6))</f>
        <v>5.79430749357991</v>
      </c>
      <c r="R6" s="26" t="n">
        <f aca="false">2*PI()*(0.99312619+99.99735956*M6 - 0.00000044*M6^2 - INT(0.99312619+99.99735956*M6- 0.00000044*M6^2))</f>
        <v>4.65789924356725</v>
      </c>
      <c r="S6" s="26" t="n">
        <f aca="false">2*PI()*(0.827361+1236.853086*M6 - INT(0.827361+1236.853086*M6))</f>
        <v>1.23541823270932</v>
      </c>
      <c r="T6" s="26" t="n">
        <f aca="false">2*PI()*(0.259086+1342.227825*M6 - INT(0.259086+1342.227825*M6))</f>
        <v>3.7688986625423</v>
      </c>
      <c r="U6" s="26" t="n">
        <f aca="false">T6+(P6+412*SIN(2*T6)+541*SIN(R6))/206264.8062</f>
        <v>3.72572177988208</v>
      </c>
      <c r="V6" s="26" t="n">
        <f aca="false">T6-2*S6</f>
        <v>1.29806219712367</v>
      </c>
      <c r="W6" s="25" t="n">
        <f aca="false">-526*SIN(V6)+44*SIN(Q6+V6)-31*SIN(-Q6+V6)-23*SIN(R6+V6)+11*SIN(-R6+V6)-25*SIN(-2*Q6+T6)+21*SIN(-Q6+T6)</f>
        <v>-489.100300214486</v>
      </c>
      <c r="X6" s="26" t="n">
        <f aca="false">2*PI()*(O6+P6/1296000-INT(O6+P6/1296000))</f>
        <v>4.51275427956818</v>
      </c>
      <c r="Y6" s="26" t="n">
        <f aca="false">(18520*SIN(U6)+W6)/206264.8062</f>
        <v>-0.0518866140510893</v>
      </c>
      <c r="Z6" s="26" t="n">
        <f aca="false">Y6*180/PI()</f>
        <v>-2.97288399835161</v>
      </c>
      <c r="AA6" s="26" t="n">
        <f aca="false">COS(Y6)*COS(X6)</f>
        <v>-0.198044411016637</v>
      </c>
      <c r="AB6" s="26" t="n">
        <f aca="false">COS(Y6)*SIN(X6)</f>
        <v>-0.978820006792749</v>
      </c>
      <c r="AC6" s="26" t="n">
        <f aca="false">SIN(Y6)</f>
        <v>-0.0518633354819761</v>
      </c>
      <c r="AD6" s="26" t="n">
        <f aca="false">COS($A$4*(23.4393-46.815*M6/3600))*AB6-SIN($A$4*(23.4393-46.815*M6/3600))*AC6</f>
        <v>-0.877442239041059</v>
      </c>
      <c r="AE6" s="26" t="n">
        <f aca="false">SIN($A$4*(23.4393-46.815*M6/3600))*AB6+COS($A$4*(23.4393-46.815*M6/3600))*AC6</f>
        <v>-0.436890751117126</v>
      </c>
      <c r="AF6" s="26" t="n">
        <f aca="false">SQRT(1-AE6*AE6)</f>
        <v>0.899514575528553</v>
      </c>
      <c r="AG6" s="10" t="n">
        <f aca="false">ATAN(AE6/AF6)/$A$4</f>
        <v>-25.9056664647856</v>
      </c>
      <c r="AH6" s="26" t="n">
        <f aca="false">IF(24*ATAN(AD6/(AA6+AF6))/PI()&gt;0,24*ATAN(AD6/(AA6+AF6))/PI(),24*ATAN(AD6/(AA6+AF6))/PI()+24)</f>
        <v>17.1520729171188</v>
      </c>
      <c r="AI6" s="10" t="n">
        <f aca="false">IF(N6-15*AH6&gt;0,N6-15*AH6,360+N6-15*AH6)</f>
        <v>292.923511192555</v>
      </c>
      <c r="AJ6" s="18" t="n">
        <f aca="false">0.950724+0.051818*COS(Q6)+0.009531*COS(2*S6-Q6)+0.007843*COS(2*S6)+0.002824*COS(2*Q6)+0.000857*COS(2*S6+Q6)+0.000533*COS(2*S6-R6)+0.000401*COS(2*S6-R6-Q6)+0.00032*COS(Q6-R6)-0.000271*COS(S6)</f>
        <v>0.98187667642084</v>
      </c>
      <c r="AK6" s="50" t="n">
        <f aca="false">ASIN(COS($A$4*$G$2)*COS($A$4*AG6)*COS($A$4*AI6)+SIN($A$4*$G$2)*SIN($A$4*AG6))/$A$4</f>
        <v>29.5522684626579</v>
      </c>
      <c r="AL6" s="18" t="n">
        <f aca="false">ASIN((0.9983271+0.0016764*COS($A$4*2*$G$2))*COS($A$4*AK6)*SIN($A$4*AJ6))/$A$4</f>
        <v>0.853696105733623</v>
      </c>
      <c r="AM6" s="18" t="n">
        <f aca="false">AK6-AL6</f>
        <v>28.6985723569243</v>
      </c>
      <c r="AN6" s="10" t="n">
        <f aca="false"> IF(280.4664567 + 360007.6982779*M6/10 + 0.03032028*M6^2/100 + M6^3/49931000&lt;0,MOD(280.4664567 + 360007.6982779*M6/10 + 0.03032028*M6^2/100 + M6^3/49931000+360,360),MOD(280.4664567 + 360007.6982779*M6/10 + 0.03032028*M6^2/100 + M6^3/49931000,360))</f>
        <v>190.210387493404</v>
      </c>
      <c r="AO6" s="27" t="n">
        <f aca="false"> AN6 + (1.9146 - 0.004817*M6 - 0.000014*M6^2)*SIN(R6)+ (0.019993 - 0.000101*M6)*SIN(2*R6)+ 0.00029*SIN(3*R6)</f>
        <v>188.302182197818</v>
      </c>
      <c r="AP6" s="18" t="n">
        <f aca="false">ACOS(COS(X6-$A$4*AO6)*COS(Y6))/$A$4</f>
        <v>70.2872600429569</v>
      </c>
      <c r="AQ6" s="25" t="n">
        <f aca="false">180 - AP6 -0.1468*(1-0.0549*SIN(R6))*SIN($A$4*AP6)/(1-0.0167*SIN($A$4*AO6))</f>
        <v>109.567318007594</v>
      </c>
      <c r="AR6" s="25" t="n">
        <f aca="false">SIN($A$4*AI6)</f>
        <v>-0.921025651886996</v>
      </c>
      <c r="AS6" s="25" t="n">
        <f aca="false">COS($A$4*AI6)*SIN($A$4*$G$2) - TAN($A$4*AG6)*COS($A$4*$G$2)</f>
        <v>0.294895121744044</v>
      </c>
      <c r="AT6" s="25" t="n">
        <f aca="false">IF(OR(AND(AR6*AS6&gt;0), AND(AR6&lt;0,AS6&gt;0)), MOD(ATAN2(AS6,AR6)/$A$4+360,360),  ATAN2(AS6,AR6)/$A$4)</f>
        <v>287.754090073831</v>
      </c>
      <c r="AU6" s="29" t="n">
        <f aca="false">(1+SIN($A$4*H6)*SIN($A$4*AJ6))*120*ASIN(0.272481*SIN($A$4*AJ6))/$A$4</f>
        <v>32.3678487261903</v>
      </c>
      <c r="AV6" s="10" t="n">
        <f aca="false">COS(X6)</f>
        <v>-0.198311300026807</v>
      </c>
      <c r="AW6" s="10" t="n">
        <f aca="false">SIN(X6)</f>
        <v>-0.980139086192198</v>
      </c>
      <c r="AX6" s="30" t="n">
        <f aca="false"> 385000.56 + (-20905355*COS(Q6) - 3699111*COS(2*S6-Q6) - 2955968*COS(2*S6) - 569925*COS(2*Q6) + (1-0.002516*M6)*48888*COS(R6) - 3149*COS(2*T6)  +246158*COS(2*S6-2*Q6) -(1-0.002516*M6)*152138*COS(2*S6-R6-Q6) -170733*COS(2*S6+Q6) -(1-0.002516*M6)*204586*COS(2*S6-R6) -(1-0.002516*M6)*129620*COS(R6-Q6)  + 108743*COS(S6) +(1-0.002516*M6)*104755*COS(R6+Q6) +10321*COS(2*S6-2*T6) +79661*COS(Q6-2*T6) -34782*COS(4*S6-Q6) -23210*COS(3*Q6)  -21636*COS(4*S6-2*Q6) +(1-0.002516*M6)*24208*COS(2*S6+R6-Q6) +(1-0.002516*M6)*30824*COS(2*S6+R6) -8379*COS(S6-Q6) -(1-0.002516*M6)*16675*COS(S6+R6)  -(1-0.002516*M6)*12831*COS(2*S6-R6+Q6) -10445*COS(2*S6+2*Q6) -11650*COS(4*S6) +14403*COS(2*S6-3*Q6) -(1-0.002516*M6)*7003*COS(R6-2*Q6)  + (1-0.002516*M6)*10056*COS(2*S6-R6-2*Q6) +6322*COS(S6+Q6) -(1-0.002516*M6)*(1-0.002516*M6)*9884*COS(2*S6-2*R6) +(1-0.002516*M6)*5751*COS(R6+2*Q6) -(1-0.002516*M6)*(1-0.002516*M6)*4950*COS(2*S6-2*R6-Q6)  +4130*COS(2*S6+Q6-2*T6) -(1-0.002516*M6)*3958*COS(4*S6-R6-Q6) +3258*COS(3*S6-Q6) +(1-0.002516*M6)*2616*COS(2*S6+R6+Q6) -(1-0.002516*M6)*1897*COS(4*S6-R6-2*Q6)  -(1-0.002516*M6)*(1-0.002516*M6)*2117*COS(2*R6-Q6) +(1-0.002516*M6)*(1-0.002516*M6)*2354*COS(2*S6+2*R6-Q6) -1423*COS(4*S6+Q6) -1117*COS(4*Q6) -(1-0.002516*M6)*1571*COS(4*S6-R6)  -1739*COS(S6-2*Q6) -4421*COS(2*Q6-2*T6) +(1-0.002516*M6)*(1-0.002516*M6)*1165*COS(2*R6+Q6) +8752*COS(2*S6-Q6-2*T6))/1000</f>
        <v>372018.061549294</v>
      </c>
      <c r="AY6" s="10" t="n">
        <f aca="false">AY5+1/8</f>
        <v>1.5</v>
      </c>
      <c r="AZ6" s="17" t="n">
        <f aca="false">AZ5+1</f>
        <v>5</v>
      </c>
      <c r="BA6" s="32" t="n">
        <f aca="false">ATAN(0.99664719*TAN($A$4*input!$E$2))</f>
        <v>-0.400219206115995</v>
      </c>
      <c r="BB6" s="32" t="n">
        <f aca="false">COS(BA6)</f>
        <v>0.920975608992155</v>
      </c>
      <c r="BC6" s="32" t="n">
        <f aca="false">0.99664719*SIN(BA6)</f>
        <v>-0.388313912533463</v>
      </c>
      <c r="BD6" s="32" t="n">
        <f aca="false">6378.14/AX6</f>
        <v>0.0171447052152194</v>
      </c>
      <c r="BE6" s="33" t="n">
        <f aca="false">MOD(N6-15*AH6,360)</f>
        <v>292.923511192555</v>
      </c>
      <c r="BF6" s="27" t="n">
        <f aca="false">COS($A$4*AG6)*SIN($A$4*BE6)</f>
        <v>-0.828475998308041</v>
      </c>
      <c r="BG6" s="27" t="n">
        <f aca="false">COS($A$4*AG6)*COS($A$4*BE6)-BB6*BD6</f>
        <v>0.334572802238136</v>
      </c>
      <c r="BH6" s="27" t="n">
        <f aca="false">SIN($A$4*AG6)-BC6*BD6</f>
        <v>-0.430233223555771</v>
      </c>
      <c r="BI6" s="46" t="n">
        <f aca="false">SQRT(BF6^2+BG6^2+BH6^2)</f>
        <v>0.991671350005219</v>
      </c>
      <c r="BJ6" s="35" t="n">
        <f aca="false">AX6*BI6</f>
        <v>368919.653322913</v>
      </c>
    </row>
    <row r="7" customFormat="false" ht="15" hidden="false" customHeight="false" outlineLevel="0" collapsed="false">
      <c r="A7" s="12" t="n">
        <f aca="false">input!$C$3</f>
        <v>31</v>
      </c>
      <c r="B7" s="101"/>
      <c r="C7" s="15" t="n">
        <f aca="false">MOD(C6+3,24)</f>
        <v>15</v>
      </c>
      <c r="D7" s="17" t="n">
        <v>1</v>
      </c>
      <c r="E7" s="102" t="n">
        <f aca="false">input!$C$2</f>
        <v>10</v>
      </c>
      <c r="F7" s="102" t="n">
        <f aca="false">input!$D$2</f>
        <v>2022</v>
      </c>
      <c r="G7" s="101"/>
      <c r="H7" s="39" t="n">
        <f aca="false">AM7</f>
        <v>67.7193081201407</v>
      </c>
      <c r="I7" s="48" t="n">
        <f aca="false">H7+1.02/(TAN($A$4*(H7+10.3/(H7+5.11)))*60)</f>
        <v>67.7262246792689</v>
      </c>
      <c r="J7" s="39" t="n">
        <f aca="false">100*(1+COS($A$4*AQ7))/2</f>
        <v>34.5999310966618</v>
      </c>
      <c r="K7" s="48" t="n">
        <f aca="false">IF(AI7&gt;180,AT7-180,AT7+180)</f>
        <v>103.231864728171</v>
      </c>
      <c r="L7" s="10" t="n">
        <f aca="false">L6+1/8</f>
        <v>2459854.125</v>
      </c>
      <c r="M7" s="49" t="n">
        <f aca="false">(L7-2451545)/36525</f>
        <v>0.22749144421629</v>
      </c>
      <c r="N7" s="15" t="n">
        <f aca="false">MOD(280.46061837+360.98564736629*(L7-2451545)+0.000387933*M7^2-M7^3/38710000+$G$4,360)</f>
        <v>235.327810870484</v>
      </c>
      <c r="O7" s="18" t="n">
        <f aca="false">0.60643382+1336.85522467*M7 - 0.00000313*M7^2 - INT(0.60643382+1336.85522467*M7 - 0.00000313*M7^2)</f>
        <v>0.729559426286585</v>
      </c>
      <c r="P7" s="15" t="n">
        <f aca="false">22640*SIN(Q7)-4586*SIN(Q7-2*S7)+2370*SIN(2*S7)+769*SIN(2*Q7)-668*SIN(R7)-412*SIN(2*T7)-212*SIN(2*Q7-2*S7)-206*SIN(Q7+R7-2*S7)+192*SIN(Q7+2*S7)-165*SIN(R7-2*S7)-125*SIN(S7)-110*SIN(Q7+R7)+148*SIN(Q7-R7)-55*SIN(2*T7-2*S7)</f>
        <v>-8385.96256756167</v>
      </c>
      <c r="Q7" s="18" t="n">
        <f aca="false">2*PI()*(0.374897+1325.55241*M7 - INT(0.374897+1325.55241*M7))</f>
        <v>5.82281088655207</v>
      </c>
      <c r="R7" s="26" t="n">
        <f aca="false">2*PI()*(0.99312619+99.99735956*M7 - 0.00000044*M7^2 - INT(0.99312619+99.99735956*M7- 0.00000044*M7^2))</f>
        <v>4.66004948976536</v>
      </c>
      <c r="S7" s="26" t="n">
        <f aca="false">2*PI()*(0.827361+1236.853086*M7 - INT(0.827361+1236.853086*M7))</f>
        <v>1.2620143214746</v>
      </c>
      <c r="T7" s="26" t="n">
        <f aca="false">2*PI()*(0.259086+1342.227825*M7 - INT(0.259086+1342.227825*M7))</f>
        <v>3.79776062746006</v>
      </c>
      <c r="U7" s="26" t="n">
        <f aca="false">T7+(P7+412*SIN(2*T7)+541*SIN(R7))/206264.8062</f>
        <v>3.75641617026088</v>
      </c>
      <c r="V7" s="26" t="n">
        <f aca="false">T7-2*S7</f>
        <v>1.27373198451087</v>
      </c>
      <c r="W7" s="25" t="n">
        <f aca="false">-526*SIN(V7)+44*SIN(Q7+V7)-31*SIN(-Q7+V7)-23*SIN(R7+V7)+11*SIN(-R7+V7)-25*SIN(-2*Q7+T7)+21*SIN(-Q7+T7)</f>
        <v>-484.910248299867</v>
      </c>
      <c r="X7" s="26" t="n">
        <f aca="false">2*PI()*(O7+P7/1296000-INT(O7+P7/1296000))</f>
        <v>4.54330077413797</v>
      </c>
      <c r="Y7" s="26" t="n">
        <f aca="false">(18520*SIN(U7)+W7)/206264.8062</f>
        <v>-0.0541416275507375</v>
      </c>
      <c r="Z7" s="26" t="n">
        <f aca="false">Y7*180/PI()</f>
        <v>-3.10208675462648</v>
      </c>
      <c r="AA7" s="26" t="n">
        <f aca="false">COS(Y7)*COS(X7)</f>
        <v>-0.168037042842398</v>
      </c>
      <c r="AB7" s="26" t="n">
        <f aca="false">COS(Y7)*SIN(X7)</f>
        <v>-0.984294213883174</v>
      </c>
      <c r="AC7" s="26" t="n">
        <f aca="false">SIN(Y7)</f>
        <v>-0.0541151803922656</v>
      </c>
      <c r="AD7" s="26" t="n">
        <f aca="false">COS($A$4*(23.4393-46.815*M7/3600))*AB7-SIN($A$4*(23.4393-46.815*M7/3600))*AC7</f>
        <v>-0.881569212167688</v>
      </c>
      <c r="AE7" s="26" t="n">
        <f aca="false">SIN($A$4*(23.4393-46.815*M7/3600))*AB7+COS($A$4*(23.4393-46.815*M7/3600))*AC7</f>
        <v>-0.441134079833811</v>
      </c>
      <c r="AF7" s="26" t="n">
        <f aca="false">SQRT(1-AE7*AE7)</f>
        <v>0.897441208998771</v>
      </c>
      <c r="AG7" s="10" t="n">
        <f aca="false">ATAN(AE7/AF7)/$A$4</f>
        <v>-26.1762622988548</v>
      </c>
      <c r="AH7" s="26" t="n">
        <f aca="false">IF(24*ATAN(AD7/(AA7+AF7))/PI()&gt;0,24*ATAN(AD7/(AA7+AF7))/PI(),24*ATAN(AD7/(AA7+AF7))/PI()+24)</f>
        <v>17.2805488541497</v>
      </c>
      <c r="AI7" s="10" t="n">
        <f aca="false">IF(N7-15*AH7&gt;0,N7-15*AH7,360+N7-15*AH7)</f>
        <v>336.119578058238</v>
      </c>
      <c r="AJ7" s="18" t="n">
        <f aca="false">0.950724+0.051818*COS(Q7)+0.009531*COS(2*S7-Q7)+0.007843*COS(2*S7)+0.002824*COS(2*Q7)+0.000857*COS(2*S7+Q7)+0.000533*COS(2*S7-R7)+0.000401*COS(2*S7-R7-Q7)+0.00032*COS(Q7-R7)-0.000271*COS(S7)</f>
        <v>0.982360050755713</v>
      </c>
      <c r="AK7" s="50" t="n">
        <f aca="false">ASIN(COS($A$4*$G$2)*COS($A$4*AG7)*COS($A$4*AI7)+SIN($A$4*$G$2)*SIN($A$4*AG7))/$A$4</f>
        <v>68.085741390119</v>
      </c>
      <c r="AL7" s="18" t="n">
        <f aca="false">ASIN((0.9983271+0.0016764*COS($A$4*2*$G$2))*COS($A$4*AK7)*SIN($A$4*AJ7))/$A$4</f>
        <v>0.366433269978292</v>
      </c>
      <c r="AM7" s="18" t="n">
        <f aca="false">AK7-AL7</f>
        <v>67.7193081201407</v>
      </c>
      <c r="AN7" s="10" t="n">
        <f aca="false"> IF(280.4664567 + 360007.6982779*M7/10 + 0.03032028*M7^2/100 + M7^3/49931000&lt;0,MOD(280.4664567 + 360007.6982779*M7/10 + 0.03032028*M7^2/100 + M7^3/49931000+360,360),MOD(280.4664567 + 360007.6982779*M7/10 + 0.03032028*M7^2/100 + M7^3/49931000,360))</f>
        <v>190.333593413889</v>
      </c>
      <c r="AO7" s="27" t="n">
        <f aca="false"> AN7 + (1.9146 - 0.004817*M7 - 0.000014*M7^2)*SIN(R7)+ (0.019993 - 0.000101*M7)*SIN(2*R7)+ 0.00029*SIN(3*R7)</f>
        <v>188.425083371879</v>
      </c>
      <c r="AP7" s="18" t="n">
        <f aca="false">ACOS(COS(X7-$A$4*AO7)*COS(Y7))/$A$4</f>
        <v>71.91433606759</v>
      </c>
      <c r="AQ7" s="25" t="n">
        <f aca="false">180 - AP7 -0.1468*(1-0.0549*SIN(R7))*SIN($A$4*AP7)/(1-0.0167*SIN($A$4*AO7))</f>
        <v>107.938825457518</v>
      </c>
      <c r="AR7" s="25" t="n">
        <f aca="false">SIN($A$4*AI7)</f>
        <v>-0.404829161115139</v>
      </c>
      <c r="AS7" s="25" t="n">
        <f aca="false">COS($A$4*AI7)*SIN($A$4*$G$2) - TAN($A$4*AG7)*COS($A$4*$G$2)</f>
        <v>0.0951893827567349</v>
      </c>
      <c r="AT7" s="25" t="n">
        <f aca="false">IF(OR(AND(AR7*AS7&gt;0), AND(AR7&lt;0,AS7&gt;0)), MOD(ATAN2(AS7,AR7)/$A$4+360,360),  ATAN2(AS7,AR7)/$A$4)</f>
        <v>283.231864728171</v>
      </c>
      <c r="AU7" s="29" t="n">
        <f aca="false">(1+SIN($A$4*H7)*SIN($A$4*AJ7))*120*ASIN(0.272481*SIN($A$4*AJ7))/$A$4</f>
        <v>32.6290371058661</v>
      </c>
      <c r="AV7" s="10" t="n">
        <f aca="false">COS(X7)</f>
        <v>-0.168283628831336</v>
      </c>
      <c r="AW7" s="10" t="n">
        <f aca="false">SIN(X7)</f>
        <v>-0.985738616605516</v>
      </c>
      <c r="AX7" s="30" t="n">
        <f aca="false"> 385000.56 + (-20905355*COS(Q7) - 3699111*COS(2*S7-Q7) - 2955968*COS(2*S7) - 569925*COS(2*Q7) + (1-0.002516*M7)*48888*COS(R7) - 3149*COS(2*T7)  +246158*COS(2*S7-2*Q7) -(1-0.002516*M7)*152138*COS(2*S7-R7-Q7) -170733*COS(2*S7+Q7) -(1-0.002516*M7)*204586*COS(2*S7-R7) -(1-0.002516*M7)*129620*COS(R7-Q7)  + 108743*COS(S7) +(1-0.002516*M7)*104755*COS(R7+Q7) +10321*COS(2*S7-2*T7) +79661*COS(Q7-2*T7) -34782*COS(4*S7-Q7) -23210*COS(3*Q7)  -21636*COS(4*S7-2*Q7) +(1-0.002516*M7)*24208*COS(2*S7+R7-Q7) +(1-0.002516*M7)*30824*COS(2*S7+R7) -8379*COS(S7-Q7) -(1-0.002516*M7)*16675*COS(S7+R7)  -(1-0.002516*M7)*12831*COS(2*S7-R7+Q7) -10445*COS(2*S7+2*Q7) -11650*COS(4*S7) +14403*COS(2*S7-3*Q7) -(1-0.002516*M7)*7003*COS(R7-2*Q7)  + (1-0.002516*M7)*10056*COS(2*S7-R7-2*Q7) +6322*COS(S7+Q7) -(1-0.002516*M7)*(1-0.002516*M7)*9884*COS(2*S7-2*R7) +(1-0.002516*M7)*5751*COS(R7+2*Q7) -(1-0.002516*M7)*(1-0.002516*M7)*4950*COS(2*S7-2*R7-Q7)  +4130*COS(2*S7+Q7-2*T7) -(1-0.002516*M7)*3958*COS(4*S7-R7-Q7) +3258*COS(3*S7-Q7) +(1-0.002516*M7)*2616*COS(2*S7+R7+Q7) -(1-0.002516*M7)*1897*COS(4*S7-R7-2*Q7)  -(1-0.002516*M7)*(1-0.002516*M7)*2117*COS(2*R7-Q7) +(1-0.002516*M7)*(1-0.002516*M7)*2354*COS(2*S7+2*R7-Q7) -1423*COS(4*S7+Q7) -1117*COS(4*Q7) -(1-0.002516*M7)*1571*COS(4*S7-R7)  -1739*COS(S7-2*Q7) -4421*COS(2*Q7-2*T7) +(1-0.002516*M7)*(1-0.002516*M7)*1165*COS(2*R7+Q7) +8752*COS(2*S7-Q7-2*T7))/1000</f>
        <v>371823.433514255</v>
      </c>
      <c r="AY7" s="10" t="n">
        <f aca="false">AY6+1/8</f>
        <v>1.625</v>
      </c>
      <c r="AZ7" s="17" t="n">
        <f aca="false">AZ6+1</f>
        <v>6</v>
      </c>
      <c r="BA7" s="32" t="n">
        <f aca="false">ATAN(0.99664719*TAN($A$4*input!$E$2))</f>
        <v>-0.400219206115995</v>
      </c>
      <c r="BB7" s="32" t="n">
        <f aca="false">COS(BA7)</f>
        <v>0.920975608992155</v>
      </c>
      <c r="BC7" s="32" t="n">
        <f aca="false">0.99664719*SIN(BA7)</f>
        <v>-0.388313912533463</v>
      </c>
      <c r="BD7" s="32" t="n">
        <f aca="false">6378.14/AX7</f>
        <v>0.0171536794755446</v>
      </c>
      <c r="BE7" s="33" t="n">
        <f aca="false">MOD(N7-15*AH7,360)</f>
        <v>336.119578058238</v>
      </c>
      <c r="BF7" s="27" t="n">
        <f aca="false">COS($A$4*AG7)*SIN($A$4*BE7)</f>
        <v>-0.363310371789129</v>
      </c>
      <c r="BG7" s="27" t="n">
        <f aca="false">COS($A$4*AG7)*COS($A$4*BE7)-BB7*BD7</f>
        <v>0.804815246148004</v>
      </c>
      <c r="BH7" s="27" t="n">
        <f aca="false">SIN($A$4*AG7)-BC7*BD7</f>
        <v>-0.434473067442318</v>
      </c>
      <c r="BI7" s="46" t="n">
        <f aca="false">SQRT(BF7^2+BG7^2+BH7^2)</f>
        <v>0.984118312508493</v>
      </c>
      <c r="BJ7" s="35" t="n">
        <f aca="false">AX7*BI7</f>
        <v>365918.249941163</v>
      </c>
    </row>
    <row r="8" customFormat="false" ht="15" hidden="false" customHeight="false" outlineLevel="0" collapsed="false">
      <c r="A8" s="52"/>
      <c r="B8" s="101"/>
      <c r="C8" s="15" t="n">
        <f aca="false">MOD(C7+3,24)</f>
        <v>18</v>
      </c>
      <c r="D8" s="17" t="n">
        <v>1</v>
      </c>
      <c r="E8" s="102" t="n">
        <f aca="false">input!$C$2</f>
        <v>10</v>
      </c>
      <c r="F8" s="102" t="n">
        <f aca="false">input!$D$2</f>
        <v>2022</v>
      </c>
      <c r="G8" s="101"/>
      <c r="H8" s="39" t="n">
        <f aca="false">AM8</f>
        <v>71.849068747315</v>
      </c>
      <c r="I8" s="48" t="n">
        <f aca="false">H8+1.02/(TAN($A$4*(H8+10.3/(H8+5.11)))*60)</f>
        <v>71.8545979899993</v>
      </c>
      <c r="J8" s="39" t="n">
        <f aca="false">100*(1+COS($A$4*AQ8))/2</f>
        <v>35.9591049726409</v>
      </c>
      <c r="K8" s="48" t="n">
        <f aca="false">IF(AI8&gt;180,AT8-180,AT8+180)</f>
        <v>254.996308389569</v>
      </c>
      <c r="L8" s="10" t="n">
        <f aca="false">L7+1/8</f>
        <v>2459854.25</v>
      </c>
      <c r="M8" s="49" t="n">
        <f aca="false">(L8-2451545)/36525</f>
        <v>0.227494866529774</v>
      </c>
      <c r="N8" s="15" t="n">
        <f aca="false">MOD(280.46061837+360.98564736629*(L8-2451545)+0.000387933*M8^2-M8^3/38710000+$G$4,360)</f>
        <v>280.451016791631</v>
      </c>
      <c r="O8" s="18" t="n">
        <f aca="false">0.60643382+1336.85522467*M8 - 0.00000313*M8^2 - INT(0.60643382+1336.85522467*M8 - 0.00000313*M8^2)</f>
        <v>0.734134563943144</v>
      </c>
      <c r="P8" s="15" t="n">
        <f aca="false">22640*SIN(Q8)-4586*SIN(Q8-2*S8)+2370*SIN(2*S8)+769*SIN(2*Q8)-668*SIN(R8)-412*SIN(2*T8)-212*SIN(2*Q8-2*S8)-206*SIN(Q8+R8-2*S8)+192*SIN(Q8+2*S8)-165*SIN(R8-2*S8)-125*SIN(S8)-110*SIN(Q8+R8)+148*SIN(Q8-R8)-55*SIN(2*T8-2*S8)</f>
        <v>-8008.27129533643</v>
      </c>
      <c r="Q8" s="18" t="n">
        <f aca="false">2*PI()*(0.374897+1325.55241*M8 - INT(0.374897+1325.55241*M8))</f>
        <v>5.85131427952387</v>
      </c>
      <c r="R8" s="26" t="n">
        <f aca="false">2*PI()*(0.99312619+99.99735956*M8 - 0.00000044*M8^2 - INT(0.99312619+99.99735956*M8- 0.00000044*M8^2))</f>
        <v>4.66219973596346</v>
      </c>
      <c r="S8" s="26" t="n">
        <f aca="false">2*PI()*(0.827361+1236.853086*M8 - INT(0.827361+1236.853086*M8))</f>
        <v>1.28861041023916</v>
      </c>
      <c r="T8" s="26" t="n">
        <f aca="false">2*PI()*(0.259086+1342.227825*M8 - INT(0.259086+1342.227825*M8))</f>
        <v>3.82662259237782</v>
      </c>
      <c r="U8" s="26" t="n">
        <f aca="false">T8+(P8+412*SIN(2*T8)+541*SIN(R8))/206264.8062</f>
        <v>3.78713518214653</v>
      </c>
      <c r="V8" s="26" t="n">
        <f aca="false">T8-2*S8</f>
        <v>1.24940177189949</v>
      </c>
      <c r="W8" s="25" t="n">
        <f aca="false">-526*SIN(V8)+44*SIN(Q8+V8)-31*SIN(-Q8+V8)-23*SIN(R8+V8)+11*SIN(-R8+V8)-25*SIN(-2*Q8+T8)+21*SIN(-Q8+T8)</f>
        <v>-480.363214753086</v>
      </c>
      <c r="X8" s="26" t="n">
        <f aca="false">2*PI()*(O8+P8/1296000-INT(O8+P8/1296000))</f>
        <v>4.5738783108001</v>
      </c>
      <c r="Y8" s="26" t="n">
        <f aca="false">(18520*SIN(U8)+W8)/206264.8062</f>
        <v>-0.0563478856575008</v>
      </c>
      <c r="Z8" s="26" t="n">
        <f aca="false">Y8*180/PI()</f>
        <v>-3.22849603266054</v>
      </c>
      <c r="AA8" s="26" t="n">
        <f aca="false">COS(Y8)*COS(X8)</f>
        <v>-0.13784907053301</v>
      </c>
      <c r="AB8" s="26" t="n">
        <f aca="false">COS(Y8)*SIN(X8)</f>
        <v>-0.988850801941037</v>
      </c>
      <c r="AC8" s="26" t="n">
        <f aca="false">SIN(Y8)</f>
        <v>-0.0563180721771645</v>
      </c>
      <c r="AD8" s="26" t="n">
        <f aca="false">COS($A$4*(23.4393-46.815*M8/3600))*AB8-SIN($A$4*(23.4393-46.815*M8/3600))*AC8</f>
        <v>-0.88487373763272</v>
      </c>
      <c r="AE8" s="26" t="n">
        <f aca="false">SIN($A$4*(23.4393-46.815*M8/3600))*AB8+COS($A$4*(23.4393-46.815*M8/3600))*AC8</f>
        <v>-0.444967529378364</v>
      </c>
      <c r="AF8" s="26" t="n">
        <f aca="false">SQRT(1-AE8*AE8)</f>
        <v>0.895546703304141</v>
      </c>
      <c r="AG8" s="10" t="n">
        <f aca="false">ATAN(AE8/AF8)/$A$4</f>
        <v>-26.4212613238941</v>
      </c>
      <c r="AH8" s="26" t="n">
        <f aca="false">IF(24*ATAN(AD8/(AA8+AF8))/PI()&gt;0,24*ATAN(AD8/(AA8+AF8))/PI(),24*ATAN(AD8/(AA8+AF8))/PI()+24)</f>
        <v>17.4096941684584</v>
      </c>
      <c r="AI8" s="10" t="n">
        <f aca="false">IF(N8-15*AH8&gt;0,N8-15*AH8,360+N8-15*AH8)</f>
        <v>19.3056042647546</v>
      </c>
      <c r="AJ8" s="18" t="n">
        <f aca="false">0.950724+0.051818*COS(Q8)+0.009531*COS(2*S8-Q8)+0.007843*COS(2*S8)+0.002824*COS(2*Q8)+0.000857*COS(2*S8+Q8)+0.000533*COS(2*S8-R8)+0.000401*COS(2*S8-R8-Q8)+0.00032*COS(Q8-R8)-0.000271*COS(S8)</f>
        <v>0.982827423929147</v>
      </c>
      <c r="AK8" s="50" t="n">
        <f aca="false">ASIN(COS($A$4*$G$2)*COS($A$4*AG8)*COS($A$4*AI8)+SIN($A$4*$G$2)*SIN($A$4*AG8))/$A$4</f>
        <v>72.1501618078031</v>
      </c>
      <c r="AL8" s="18" t="n">
        <f aca="false">ASIN((0.9983271+0.0016764*COS($A$4*2*$G$2))*COS($A$4*AK8)*SIN($A$4*AJ8))/$A$4</f>
        <v>0.301093060488067</v>
      </c>
      <c r="AM8" s="18" t="n">
        <f aca="false">AK8-AL8</f>
        <v>71.849068747315</v>
      </c>
      <c r="AN8" s="10" t="n">
        <f aca="false"> IF(280.4664567 + 360007.6982779*M8/10 + 0.03032028*M8^2/100 + M8^3/49931000&lt;0,MOD(280.4664567 + 360007.6982779*M8/10 + 0.03032028*M8^2/100 + M8^3/49931000+360,360),MOD(280.4664567 + 360007.6982779*M8/10 + 0.03032028*M8^2/100 + M8^3/49931000,360))</f>
        <v>190.456799334374</v>
      </c>
      <c r="AO8" s="27" t="n">
        <f aca="false"> AN8 + (1.9146 - 0.004817*M8 - 0.000014*M8^2)*SIN(R8)+ (0.019993 - 0.000101*M8)*SIN(2*R8)+ 0.00029*SIN(3*R8)</f>
        <v>188.547993330514</v>
      </c>
      <c r="AP8" s="18" t="n">
        <f aca="false">ACOS(COS(X8-$A$4*AO8)*COS(Y8))/$A$4</f>
        <v>73.5428368095429</v>
      </c>
      <c r="AQ8" s="25" t="n">
        <f aca="false">180 - AP8 -0.1468*(1-0.0549*SIN(R8))*SIN($A$4*AP8)/(1-0.0167*SIN($A$4*AO8))</f>
        <v>106.309025623969</v>
      </c>
      <c r="AR8" s="25" t="n">
        <f aca="false">SIN($A$4*AI8)</f>
        <v>0.330606707013785</v>
      </c>
      <c r="AS8" s="25" t="n">
        <f aca="false">COS($A$4*AI8)*SIN($A$4*$G$2) - TAN($A$4*AG8)*COS($A$4*$G$2)</f>
        <v>0.0886086311514026</v>
      </c>
      <c r="AT8" s="25" t="n">
        <f aca="false">IF(OR(AND(AR8*AS8&gt;0), AND(AR8&lt;0,AS8&gt;0)), MOD(ATAN2(AS8,AR8)/$A$4+360,360),  ATAN2(AS8,AR8)/$A$4)</f>
        <v>74.9963083895689</v>
      </c>
      <c r="AU8" s="29" t="n">
        <f aca="false">(1+SIN($A$4*H8)*SIN($A$4*AJ8))*120*ASIN(0.272481*SIN($A$4*AJ8))/$A$4</f>
        <v>32.6585277578081</v>
      </c>
      <c r="AV8" s="10" t="n">
        <f aca="false">COS(X8)</f>
        <v>-0.138068201627834</v>
      </c>
      <c r="AW8" s="10" t="n">
        <f aca="false">SIN(X8)</f>
        <v>-0.990422723739341</v>
      </c>
      <c r="AX8" s="30" t="n">
        <f aca="false"> 385000.56 + (-20905355*COS(Q8) - 3699111*COS(2*S8-Q8) - 2955968*COS(2*S8) - 569925*COS(2*Q8) + (1-0.002516*M8)*48888*COS(R8) - 3149*COS(2*T8)  +246158*COS(2*S8-2*Q8) -(1-0.002516*M8)*152138*COS(2*S8-R8-Q8) -170733*COS(2*S8+Q8) -(1-0.002516*M8)*204586*COS(2*S8-R8) -(1-0.002516*M8)*129620*COS(R8-Q8)  + 108743*COS(S8) +(1-0.002516*M8)*104755*COS(R8+Q8) +10321*COS(2*S8-2*T8) +79661*COS(Q8-2*T8) -34782*COS(4*S8-Q8) -23210*COS(3*Q8)  -21636*COS(4*S8-2*Q8) +(1-0.002516*M8)*24208*COS(2*S8+R8-Q8) +(1-0.002516*M8)*30824*COS(2*S8+R8) -8379*COS(S8-Q8) -(1-0.002516*M8)*16675*COS(S8+R8)  -(1-0.002516*M8)*12831*COS(2*S8-R8+Q8) -10445*COS(2*S8+2*Q8) -11650*COS(4*S8) +14403*COS(2*S8-3*Q8) -(1-0.002516*M8)*7003*COS(R8-2*Q8)  + (1-0.002516*M8)*10056*COS(2*S8-R8-2*Q8) +6322*COS(S8+Q8) -(1-0.002516*M8)*(1-0.002516*M8)*9884*COS(2*S8-2*R8) +(1-0.002516*M8)*5751*COS(R8+2*Q8) -(1-0.002516*M8)*(1-0.002516*M8)*4950*COS(2*S8-2*R8-Q8)  +4130*COS(2*S8+Q8-2*T8) -(1-0.002516*M8)*3958*COS(4*S8-R8-Q8) +3258*COS(3*S8-Q8) +(1-0.002516*M8)*2616*COS(2*S8+R8+Q8) -(1-0.002516*M8)*1897*COS(4*S8-R8-2*Q8)  -(1-0.002516*M8)*(1-0.002516*M8)*2117*COS(2*R8-Q8) +(1-0.002516*M8)*(1-0.002516*M8)*2354*COS(2*S8+2*R8-Q8) -1423*COS(4*S8+Q8) -1117*COS(4*Q8) -(1-0.002516*M8)*1571*COS(4*S8-R8)  -1739*COS(S8-2*Q8) -4421*COS(2*Q8-2*T8) +(1-0.002516*M8)*(1-0.002516*M8)*1165*COS(2*R8+Q8) +8752*COS(2*S8-Q8-2*T8))/1000</f>
        <v>371635.559675497</v>
      </c>
      <c r="AY8" s="10" t="n">
        <f aca="false">AY7+1/8</f>
        <v>1.75</v>
      </c>
      <c r="AZ8" s="17" t="n">
        <f aca="false">AZ7+1</f>
        <v>7</v>
      </c>
      <c r="BA8" s="32" t="n">
        <f aca="false">ATAN(0.99664719*TAN($A$4*input!$E$2))</f>
        <v>-0.400219206115995</v>
      </c>
      <c r="BB8" s="32" t="n">
        <f aca="false">COS(BA8)</f>
        <v>0.920975608992155</v>
      </c>
      <c r="BC8" s="32" t="n">
        <f aca="false">0.99664719*SIN(BA8)</f>
        <v>-0.388313912533463</v>
      </c>
      <c r="BD8" s="32" t="n">
        <f aca="false">6378.14/AX8</f>
        <v>0.0171623512173303</v>
      </c>
      <c r="BE8" s="33" t="n">
        <f aca="false">MOD(N8-15*AH8,360)</f>
        <v>19.3056042647546</v>
      </c>
      <c r="BF8" s="27" t="n">
        <f aca="false">COS($A$4*AG8)*SIN($A$4*BE8)</f>
        <v>0.296073746556434</v>
      </c>
      <c r="BG8" s="27" t="n">
        <f aca="false">COS($A$4*AG8)*COS($A$4*BE8)-BB8*BD8</f>
        <v>0.829382768121203</v>
      </c>
      <c r="BH8" s="27" t="n">
        <f aca="false">SIN($A$4*AG8)-BC8*BD8</f>
        <v>-0.438303149628889</v>
      </c>
      <c r="BI8" s="46" t="n">
        <f aca="false">SQRT(BF8^2+BG8^2+BH8^2)</f>
        <v>0.983689529491371</v>
      </c>
      <c r="BJ8" s="35" t="n">
        <f aca="false">AX8*BI8</f>
        <v>365574.008839453</v>
      </c>
    </row>
    <row r="9" customFormat="false" ht="15" hidden="false" customHeight="false" outlineLevel="0" collapsed="false">
      <c r="A9" s="52"/>
      <c r="B9" s="101"/>
      <c r="C9" s="15" t="n">
        <f aca="false">MOD(C8+3,24)</f>
        <v>21</v>
      </c>
      <c r="D9" s="17" t="n">
        <v>1</v>
      </c>
      <c r="E9" s="102" t="n">
        <f aca="false">input!$C$2</f>
        <v>10</v>
      </c>
      <c r="F9" s="102" t="n">
        <f aca="false">input!$D$2</f>
        <v>2022</v>
      </c>
      <c r="G9" s="101"/>
      <c r="H9" s="39" t="n">
        <f aca="false">AM9</f>
        <v>32.9170207423094</v>
      </c>
      <c r="I9" s="48" t="n">
        <f aca="false">H9+1.02/(TAN($A$4*(H9+10.3/(H9+5.11)))*60)</f>
        <v>32.9430114623588</v>
      </c>
      <c r="J9" s="39" t="n">
        <f aca="false">100*(1+COS($A$4*AQ9))/2</f>
        <v>37.3307022288234</v>
      </c>
      <c r="K9" s="48" t="n">
        <f aca="false">IF(AI9&gt;180,AT9-180,AT9+180)</f>
        <v>252.405565264433</v>
      </c>
      <c r="L9" s="10" t="n">
        <f aca="false">L8+1/8</f>
        <v>2459854.375</v>
      </c>
      <c r="M9" s="49" t="n">
        <f aca="false">(L9-2451545)/36525</f>
        <v>0.227498288843258</v>
      </c>
      <c r="N9" s="15" t="n">
        <f aca="false">MOD(280.46061837+360.98564736629*(L9-2451545)+0.000387933*M9^2-M9^3/38710000+$G$4,360)</f>
        <v>325.574222713243</v>
      </c>
      <c r="O9" s="18" t="n">
        <f aca="false">0.60643382+1336.85522467*M9 - 0.00000313*M9^2 - INT(0.60643382+1336.85522467*M9 - 0.00000313*M9^2)</f>
        <v>0.738709701599646</v>
      </c>
      <c r="P9" s="15" t="n">
        <f aca="false">22640*SIN(Q9)-4586*SIN(Q9-2*S9)+2370*SIN(2*S9)+769*SIN(2*Q9)-668*SIN(R9)-412*SIN(2*T9)-212*SIN(2*Q9-2*S9)-206*SIN(Q9+R9-2*S9)+192*SIN(Q9+2*S9)-165*SIN(R9-2*S9)-125*SIN(S9)-110*SIN(Q9+R9)+148*SIN(Q9-R9)-55*SIN(2*T9-2*S9)</f>
        <v>-7624.29420639198</v>
      </c>
      <c r="Q9" s="18" t="n">
        <f aca="false">2*PI()*(0.374897+1325.55241*M9 - INT(0.374897+1325.55241*M9))</f>
        <v>5.87981767249567</v>
      </c>
      <c r="R9" s="26" t="n">
        <f aca="false">2*PI()*(0.99312619+99.99735956*M9 - 0.00000044*M9^2 - INT(0.99312619+99.99735956*M9- 0.00000044*M9^2))</f>
        <v>4.66434998216156</v>
      </c>
      <c r="S9" s="26" t="n">
        <f aca="false">2*PI()*(0.827361+1236.853086*M9 - INT(0.827361+1236.853086*M9))</f>
        <v>1.31520649900408</v>
      </c>
      <c r="T9" s="26" t="n">
        <f aca="false">2*PI()*(0.259086+1342.227825*M9 - INT(0.259086+1342.227825*M9))</f>
        <v>3.85548455729522</v>
      </c>
      <c r="U9" s="26" t="n">
        <f aca="false">T9+(P9+412*SIN(2*T9)+541*SIN(R9))/206264.8062</f>
        <v>3.81787816054833</v>
      </c>
      <c r="V9" s="26" t="n">
        <f aca="false">T9-2*S9</f>
        <v>1.22507155928705</v>
      </c>
      <c r="W9" s="25" t="n">
        <f aca="false">-526*SIN(V9)+44*SIN(Q9+V9)-31*SIN(-Q9+V9)-23*SIN(R9+V9)+11*SIN(-R9+V9)-25*SIN(-2*Q9+T9)+21*SIN(-Q9+T9)</f>
        <v>-475.461311249515</v>
      </c>
      <c r="X9" s="26" t="n">
        <f aca="false">2*PI()*(O9+P9/1296000-INT(O9+P9/1296000))</f>
        <v>4.60448632196128</v>
      </c>
      <c r="Y9" s="26" t="n">
        <f aca="false">(18520*SIN(U9)+W9)/206264.8062</f>
        <v>-0.058503130136097</v>
      </c>
      <c r="Z9" s="26" t="n">
        <f aca="false">Y9*180/PI()</f>
        <v>-3.35198244510298</v>
      </c>
      <c r="AA9" s="26" t="n">
        <f aca="false">COS(Y9)*COS(X9)</f>
        <v>-0.107509151444186</v>
      </c>
      <c r="AB9" s="26" t="n">
        <f aca="false">COS(Y9)*SIN(X9)</f>
        <v>-0.992483284043529</v>
      </c>
      <c r="AC9" s="26" t="n">
        <f aca="false">SIN(Y9)</f>
        <v>-0.0584697635528186</v>
      </c>
      <c r="AD9" s="26" t="n">
        <f aca="false">COS($A$4*(23.4393-46.815*M9/3600))*AB9-SIN($A$4*(23.4393-46.815*M9/3600))*AC9</f>
        <v>-0.887350757479093</v>
      </c>
      <c r="AE9" s="26" t="n">
        <f aca="false">SIN($A$4*(23.4393-46.815*M9/3600))*AB9+COS($A$4*(23.4393-46.815*M9/3600))*AC9</f>
        <v>-0.448386457820741</v>
      </c>
      <c r="AF9" s="26" t="n">
        <f aca="false">SQRT(1-AE9*AE9)</f>
        <v>0.89383979797443</v>
      </c>
      <c r="AG9" s="10" t="n">
        <f aca="false">ATAN(AE9/AF9)/$A$4</f>
        <v>-26.6402077971012</v>
      </c>
      <c r="AH9" s="26" t="n">
        <f aca="false">IF(24*ATAN(AD9/(AA9+AF9))/PI()&gt;0,24*ATAN(AD9/(AA9+AF9))/PI(),24*ATAN(AD9/(AA9+AF9))/PI()+24)</f>
        <v>17.5394573468464</v>
      </c>
      <c r="AI9" s="10" t="n">
        <f aca="false">IF(N9-15*AH9&gt;0,N9-15*AH9,360+N9-15*AH9)</f>
        <v>62.4823625105475</v>
      </c>
      <c r="AJ9" s="18" t="n">
        <f aca="false">0.950724+0.051818*COS(Q9)+0.009531*COS(2*S9-Q9)+0.007843*COS(2*S9)+0.002824*COS(2*Q9)+0.000857*COS(2*S9+Q9)+0.000533*COS(2*S9-R9)+0.000401*COS(2*S9-R9-Q9)+0.00032*COS(Q9-R9)-0.000271*COS(S9)</f>
        <v>0.983278886399535</v>
      </c>
      <c r="AK9" s="50" t="n">
        <f aca="false">ASIN(COS($A$4*$G$2)*COS($A$4*AG9)*COS($A$4*AI9)+SIN($A$4*$G$2)*SIN($A$4*AG9))/$A$4</f>
        <v>33.7343087249717</v>
      </c>
      <c r="AL9" s="18" t="n">
        <f aca="false">ASIN((0.9983271+0.0016764*COS($A$4*2*$G$2))*COS($A$4*AK9)*SIN($A$4*AJ9))/$A$4</f>
        <v>0.817287982662355</v>
      </c>
      <c r="AM9" s="18" t="n">
        <f aca="false">AK9-AL9</f>
        <v>32.9170207423094</v>
      </c>
      <c r="AN9" s="10" t="n">
        <f aca="false"> IF(280.4664567 + 360007.6982779*M9/10 + 0.03032028*M9^2/100 + M9^3/49931000&lt;0,MOD(280.4664567 + 360007.6982779*M9/10 + 0.03032028*M9^2/100 + M9^3/49931000+360,360),MOD(280.4664567 + 360007.6982779*M9/10 + 0.03032028*M9^2/100 + M9^3/49931000,360))</f>
        <v>190.580005254858</v>
      </c>
      <c r="AO9" s="27" t="n">
        <f aca="false"> AN9 + (1.9146 - 0.004817*M9 - 0.000014*M9^2)*SIN(R9)+ (0.019993 - 0.000101*M9)*SIN(2*R9)+ 0.00029*SIN(3*R9)</f>
        <v>188.670912076265</v>
      </c>
      <c r="AP9" s="18" t="n">
        <f aca="false">ACOS(COS(X9-$A$4*AO9)*COS(Y9))/$A$4</f>
        <v>75.1727157056183</v>
      </c>
      <c r="AQ9" s="25" t="n">
        <f aca="false">180 - AP9 -0.1468*(1-0.0549*SIN(R9))*SIN($A$4*AP9)/(1-0.0167*SIN($A$4*AO9))</f>
        <v>104.67796645824</v>
      </c>
      <c r="AR9" s="25" t="n">
        <f aca="false">SIN($A$4*AI9)</f>
        <v>0.886868650033157</v>
      </c>
      <c r="AS9" s="25" t="n">
        <f aca="false">COS($A$4*AI9)*SIN($A$4*$G$2) - TAN($A$4*AG9)*COS($A$4*$G$2)</f>
        <v>0.28123649845864</v>
      </c>
      <c r="AT9" s="25" t="n">
        <f aca="false">IF(OR(AND(AR9*AS9&gt;0), AND(AR9&lt;0,AS9&gt;0)), MOD(ATAN2(AS9,AR9)/$A$4+360,360),  ATAN2(AS9,AR9)/$A$4)</f>
        <v>72.4055652644328</v>
      </c>
      <c r="AU9" s="29" t="n">
        <f aca="false">(1+SIN($A$4*H9)*SIN($A$4*AJ9))*120*ASIN(0.272481*SIN($A$4*AJ9))/$A$4</f>
        <v>32.4493265854303</v>
      </c>
      <c r="AV9" s="10" t="n">
        <f aca="false">COS(X9)</f>
        <v>-0.10769339546738</v>
      </c>
      <c r="AW9" s="10" t="n">
        <f aca="false">SIN(X9)</f>
        <v>-0.994184154255491</v>
      </c>
      <c r="AX9" s="30" t="n">
        <f aca="false"> 385000.56 + (-20905355*COS(Q9) - 3699111*COS(2*S9-Q9) - 2955968*COS(2*S9) - 569925*COS(2*Q9) + (1-0.002516*M9)*48888*COS(R9) - 3149*COS(2*T9)  +246158*COS(2*S9-2*Q9) -(1-0.002516*M9)*152138*COS(2*S9-R9-Q9) -170733*COS(2*S9+Q9) -(1-0.002516*M9)*204586*COS(2*S9-R9) -(1-0.002516*M9)*129620*COS(R9-Q9)  + 108743*COS(S9) +(1-0.002516*M9)*104755*COS(R9+Q9) +10321*COS(2*S9-2*T9) +79661*COS(Q9-2*T9) -34782*COS(4*S9-Q9) -23210*COS(3*Q9)  -21636*COS(4*S9-2*Q9) +(1-0.002516*M9)*24208*COS(2*S9+R9-Q9) +(1-0.002516*M9)*30824*COS(2*S9+R9) -8379*COS(S9-Q9) -(1-0.002516*M9)*16675*COS(S9+R9)  -(1-0.002516*M9)*12831*COS(2*S9-R9+Q9) -10445*COS(2*S9+2*Q9) -11650*COS(4*S9) +14403*COS(2*S9-3*Q9) -(1-0.002516*M9)*7003*COS(R9-2*Q9)  + (1-0.002516*M9)*10056*COS(2*S9-R9-2*Q9) +6322*COS(S9+Q9) -(1-0.002516*M9)*(1-0.002516*M9)*9884*COS(2*S9-2*R9) +(1-0.002516*M9)*5751*COS(R9+2*Q9) -(1-0.002516*M9)*(1-0.002516*M9)*4950*COS(2*S9-2*R9-Q9)  +4130*COS(2*S9+Q9-2*T9) -(1-0.002516*M9)*3958*COS(4*S9-R9-Q9) +3258*COS(3*S9-Q9) +(1-0.002516*M9)*2616*COS(2*S9+R9+Q9) -(1-0.002516*M9)*1897*COS(4*S9-R9-2*Q9)  -(1-0.002516*M9)*(1-0.002516*M9)*2117*COS(2*R9-Q9) +(1-0.002516*M9)*(1-0.002516*M9)*2354*COS(2*S9+2*R9-Q9) -1423*COS(4*S9+Q9) -1117*COS(4*Q9) -(1-0.002516*M9)*1571*COS(4*S9-R9)  -1739*COS(S9-2*Q9) -4421*COS(2*Q9-2*T9) +(1-0.002516*M9)*(1-0.002516*M9)*1165*COS(2*R9+Q9) +8752*COS(2*S9-Q9-2*T9))/1000</f>
        <v>371454.455025499</v>
      </c>
      <c r="AY9" s="10" t="n">
        <f aca="false">AY8+1/8</f>
        <v>1.875</v>
      </c>
      <c r="AZ9" s="17" t="n">
        <f aca="false">AZ8+1</f>
        <v>8</v>
      </c>
      <c r="BA9" s="32" t="n">
        <f aca="false">ATAN(0.99664719*TAN($A$4*input!$E$2))</f>
        <v>-0.400219206115995</v>
      </c>
      <c r="BB9" s="32" t="n">
        <f aca="false">COS(BA9)</f>
        <v>0.920975608992155</v>
      </c>
      <c r="BC9" s="32" t="n">
        <f aca="false">0.99664719*SIN(BA9)</f>
        <v>-0.388313912533463</v>
      </c>
      <c r="BD9" s="32" t="n">
        <f aca="false">6378.14/AX9</f>
        <v>0.0171707188154795</v>
      </c>
      <c r="BE9" s="33" t="n">
        <f aca="false">MOD(N9-15*AH9,360)</f>
        <v>62.4823625105475</v>
      </c>
      <c r="BF9" s="27" t="n">
        <f aca="false">COS($A$4*AG9)*SIN($A$4*BE9)</f>
        <v>0.792718494975492</v>
      </c>
      <c r="BG9" s="27" t="n">
        <f aca="false">COS($A$4*AG9)*COS($A$4*BE9)-BB9*BD9</f>
        <v>0.397159517842041</v>
      </c>
      <c r="BH9" s="27" t="n">
        <f aca="false">SIN($A$4*AG9)-BC9*BD9</f>
        <v>-0.44171882881649</v>
      </c>
      <c r="BI9" s="46" t="n">
        <f aca="false">SQRT(BF9^2+BG9^2+BH9^2)</f>
        <v>0.990582565271439</v>
      </c>
      <c r="BJ9" s="35" t="n">
        <f aca="false">AX9*BI9</f>
        <v>367956.306940663</v>
      </c>
    </row>
    <row r="10" customFormat="false" ht="15" hidden="false" customHeight="false" outlineLevel="0" collapsed="false">
      <c r="A10" s="20"/>
      <c r="B10" s="20"/>
      <c r="C10" s="15" t="n">
        <f aca="false">MOD(C9+3,24)</f>
        <v>0</v>
      </c>
      <c r="D10" s="36" t="n">
        <v>2</v>
      </c>
      <c r="E10" s="102" t="n">
        <f aca="false">input!$C$2</f>
        <v>10</v>
      </c>
      <c r="F10" s="102" t="n">
        <f aca="false">input!$D$2</f>
        <v>2022</v>
      </c>
      <c r="G10" s="0"/>
      <c r="H10" s="39" t="n">
        <f aca="false">AM10</f>
        <v>-3.57387075478109</v>
      </c>
      <c r="I10" s="48" t="n">
        <f aca="false">H10+1.02/(TAN($A$4*(H10+10.3/(H10+5.11)))*60)</f>
        <v>-3.26311799306952</v>
      </c>
      <c r="J10" s="39" t="n">
        <f aca="false">100*(1+COS($A$4*AQ10))/2</f>
        <v>38.7135974385046</v>
      </c>
      <c r="K10" s="48" t="n">
        <f aca="false">IF(AI10&gt;180,AT10-180,AT10+180)</f>
        <v>239.330572628243</v>
      </c>
      <c r="L10" s="10" t="n">
        <f aca="false">L9+1/8</f>
        <v>2459854.5</v>
      </c>
      <c r="M10" s="49" t="n">
        <f aca="false">(L10-2451545)/36525</f>
        <v>0.227501711156742</v>
      </c>
      <c r="N10" s="15" t="n">
        <f aca="false">MOD(280.46061837+360.98564736629*(L10-2451545)+0.000387933*M10^2-M10^3/38710000+$G$4,360)</f>
        <v>10.6974286348559</v>
      </c>
      <c r="O10" s="18" t="n">
        <f aca="false">0.60643382+1336.85522467*M10 - 0.00000313*M10^2 - INT(0.60643382+1336.85522467*M10 - 0.00000313*M10^2)</f>
        <v>0.743284839256262</v>
      </c>
      <c r="P10" s="15" t="n">
        <f aca="false">22640*SIN(Q10)-4586*SIN(Q10-2*S10)+2370*SIN(2*S10)+769*SIN(2*Q10)-668*SIN(R10)-412*SIN(2*T10)-212*SIN(2*Q10-2*S10)-206*SIN(Q10+R10-2*S10)+192*SIN(Q10+2*S10)-165*SIN(R10-2*S10)-125*SIN(S10)-110*SIN(Q10+R10)+148*SIN(Q10-R10)-55*SIN(2*T10-2*S10)</f>
        <v>-7234.14867584825</v>
      </c>
      <c r="Q10" s="18" t="n">
        <f aca="false">2*PI()*(0.374897+1325.55241*M10 - INT(0.374897+1325.55241*M10))</f>
        <v>5.90832106546782</v>
      </c>
      <c r="R10" s="26" t="n">
        <f aca="false">2*PI()*(0.99312619+99.99735956*M10 - 0.00000044*M10^2 - INT(0.99312619+99.99735956*M10- 0.00000044*M10^2))</f>
        <v>4.66650022835967</v>
      </c>
      <c r="S10" s="26" t="n">
        <f aca="false">2*PI()*(0.827361+1236.853086*M10 - INT(0.827361+1236.853086*M10))</f>
        <v>1.34180258776901</v>
      </c>
      <c r="T10" s="26" t="n">
        <f aca="false">2*PI()*(0.259086+1342.227825*M10 - INT(0.259086+1342.227825*M10))</f>
        <v>3.88434652221298</v>
      </c>
      <c r="U10" s="26" t="n">
        <f aca="false">T10+(P10+412*SIN(2*T10)+541*SIN(R10))/206264.8062</f>
        <v>3.84864447073811</v>
      </c>
      <c r="V10" s="26" t="n">
        <f aca="false">T10-2*S10</f>
        <v>1.20074134667497</v>
      </c>
      <c r="W10" s="25" t="n">
        <f aca="false">-526*SIN(V10)+44*SIN(Q10+V10)-31*SIN(-Q10+V10)-23*SIN(R10+V10)+11*SIN(-R10+V10)-25*SIN(-2*Q10+T10)+21*SIN(-Q10+T10)</f>
        <v>-470.207045131692</v>
      </c>
      <c r="X10" s="26" t="n">
        <f aca="false">2*PI()*(O10+P10/1296000-INT(O10+P10/1296000))</f>
        <v>4.63512423857197</v>
      </c>
      <c r="Y10" s="26" t="n">
        <f aca="false">(18520*SIN(U10)+W10)/206264.8062</f>
        <v>-0.0606051487415922</v>
      </c>
      <c r="Z10" s="26" t="n">
        <f aca="false">Y10*180/PI()</f>
        <v>-3.47241923965582</v>
      </c>
      <c r="AA10" s="26" t="n">
        <f aca="false">COS(Y10)*COS(X10)</f>
        <v>-0.0770461768362214</v>
      </c>
      <c r="AB10" s="26" t="n">
        <f aca="false">COS(Y10)*SIN(X10)</f>
        <v>-0.995186111898928</v>
      </c>
      <c r="AC10" s="26" t="n">
        <f aca="false">SIN(Y10)</f>
        <v>-0.0605680552636156</v>
      </c>
      <c r="AD10" s="26" t="n">
        <f aca="false">COS($A$4*(23.4393-46.815*M10/3600))*AB10-SIN($A$4*(23.4393-46.815*M10/3600))*AC10</f>
        <v>-0.888996055843869</v>
      </c>
      <c r="AE10" s="26" t="n">
        <f aca="false">SIN($A$4*(23.4393-46.815*M10/3600))*AB10+COS($A$4*(23.4393-46.815*M10/3600))*AC10</f>
        <v>-0.451386640618623</v>
      </c>
      <c r="AF10" s="26" t="n">
        <f aca="false">SQRT(1-AE10*AE10)</f>
        <v>0.892328471287919</v>
      </c>
      <c r="AG10" s="10" t="n">
        <f aca="false">ATAN(AE10/AF10)/$A$4</f>
        <v>-26.8326842321447</v>
      </c>
      <c r="AH10" s="26" t="n">
        <f aca="false">IF(24*ATAN(AD10/(AA10+AF10))/PI()&gt;0,24*ATAN(AD10/(AA10+AF10))/PI(),24*ATAN(AD10/(AA10+AF10))/PI()+24)</f>
        <v>17.6697834659915</v>
      </c>
      <c r="AI10" s="10" t="n">
        <f aca="false">IF(N10-15*AH10&gt;0,N10-15*AH10,360+N10-15*AH10)</f>
        <v>105.650676644983</v>
      </c>
      <c r="AJ10" s="18" t="n">
        <f aca="false">0.950724+0.051818*COS(Q10)+0.009531*COS(2*S10-Q10)+0.007843*COS(2*S10)+0.002824*COS(2*Q10)+0.000857*COS(2*S10+Q10)+0.000533*COS(2*S10-R10)+0.000401*COS(2*S10-R10-Q10)+0.00032*COS(Q10-R10)-0.000271*COS(S10)</f>
        <v>0.983714500021193</v>
      </c>
      <c r="AK10" s="50" t="n">
        <f aca="false">ASIN(COS($A$4*$G$2)*COS($A$4*AG10)*COS($A$4*AI10)+SIN($A$4*$G$2)*SIN($A$4*AG10))/$A$4</f>
        <v>-2.591662168441</v>
      </c>
      <c r="AL10" s="18" t="n">
        <f aca="false">ASIN((0.9983271+0.0016764*COS($A$4*2*$G$2))*COS($A$4*AK10)*SIN($A$4*AJ10))/$A$4</f>
        <v>0.982208586340098</v>
      </c>
      <c r="AM10" s="18" t="n">
        <f aca="false">AK10-AL10</f>
        <v>-3.57387075478109</v>
      </c>
      <c r="AN10" s="10" t="n">
        <f aca="false"> IF(280.4664567 + 360007.6982779*M10/10 + 0.03032028*M10^2/100 + M10^3/49931000&lt;0,MOD(280.4664567 + 360007.6982779*M10/10 + 0.03032028*M10^2/100 + M10^3/49931000+360,360),MOD(280.4664567 + 360007.6982779*M10/10 + 0.03032028*M10^2/100 + M10^3/49931000,360))</f>
        <v>190.703211175343</v>
      </c>
      <c r="AO10" s="27" t="n">
        <f aca="false"> AN10 + (1.9146 - 0.004817*M10 - 0.000014*M10^2)*SIN(R10)+ (0.019993 - 0.000101*M10)*SIN(2*R10)+ 0.00029*SIN(3*R10)</f>
        <v>188.793839611636</v>
      </c>
      <c r="AP10" s="18" t="n">
        <f aca="false">ACOS(COS(X10-$A$4*AO10)*COS(Y10))/$A$4</f>
        <v>76.8039281207428</v>
      </c>
      <c r="AQ10" s="25" t="n">
        <f aca="false">180 - AP10 -0.1468*(1-0.0549*SIN(R10))*SIN($A$4*AP10)/(1-0.0167*SIN($A$4*AO10))</f>
        <v>103.045693876837</v>
      </c>
      <c r="AR10" s="25" t="n">
        <f aca="false">SIN($A$4*AI10)</f>
        <v>0.962924337417694</v>
      </c>
      <c r="AS10" s="25" t="n">
        <f aca="false">COS($A$4*AI10)*SIN($A$4*$G$2) - TAN($A$4*AG10)*COS($A$4*$G$2)</f>
        <v>0.571047900412763</v>
      </c>
      <c r="AT10" s="25" t="n">
        <f aca="false">IF(OR(AND(AR10*AS10&gt;0), AND(AR10&lt;0,AS10&gt;0)), MOD(ATAN2(AS10,AR10)/$A$4+360,360),  ATAN2(AS10,AR10)/$A$4)</f>
        <v>59.3305726282431</v>
      </c>
      <c r="AU10" s="29" t="n">
        <f aca="false">(1+SIN($A$4*H10)*SIN($A$4*AJ10))*120*ASIN(0.272481*SIN($A$4*AJ10))/$A$4</f>
        <v>32.1293371229841</v>
      </c>
      <c r="AV10" s="10" t="n">
        <f aca="false">COS(X10)</f>
        <v>-0.0771878883945137</v>
      </c>
      <c r="AW10" s="10" t="n">
        <f aca="false">SIN(X10)</f>
        <v>-0.997016564498903</v>
      </c>
      <c r="AX10" s="30" t="n">
        <f aca="false"> 385000.56 + (-20905355*COS(Q10) - 3699111*COS(2*S10-Q10) - 2955968*COS(2*S10) - 569925*COS(2*Q10) + (1-0.002516*M10)*48888*COS(R10) - 3149*COS(2*T10)  +246158*COS(2*S10-2*Q10) -(1-0.002516*M10)*152138*COS(2*S10-R10-Q10) -170733*COS(2*S10+Q10) -(1-0.002516*M10)*204586*COS(2*S10-R10) -(1-0.002516*M10)*129620*COS(R10-Q10)  + 108743*COS(S10) +(1-0.002516*M10)*104755*COS(R10+Q10) +10321*COS(2*S10-2*T10) +79661*COS(Q10-2*T10) -34782*COS(4*S10-Q10) -23210*COS(3*Q10)  -21636*COS(4*S10-2*Q10) +(1-0.002516*M10)*24208*COS(2*S10+R10-Q10) +(1-0.002516*M10)*30824*COS(2*S10+R10) -8379*COS(S10-Q10) -(1-0.002516*M10)*16675*COS(S10+R10)  -(1-0.002516*M10)*12831*COS(2*S10-R10+Q10) -10445*COS(2*S10+2*Q10) -11650*COS(4*S10) +14403*COS(2*S10-3*Q10) -(1-0.002516*M10)*7003*COS(R10-2*Q10)  + (1-0.002516*M10)*10056*COS(2*S10-R10-2*Q10) +6322*COS(S10+Q10) -(1-0.002516*M10)*(1-0.002516*M10)*9884*COS(2*S10-2*R10) +(1-0.002516*M10)*5751*COS(R10+2*Q10) -(1-0.002516*M10)*(1-0.002516*M10)*4950*COS(2*S10-2*R10-Q10)  +4130*COS(2*S10+Q10-2*T10) -(1-0.002516*M10)*3958*COS(4*S10-R10-Q10) +3258*COS(3*S10-Q10) +(1-0.002516*M10)*2616*COS(2*S10+R10+Q10) -(1-0.002516*M10)*1897*COS(4*S10-R10-2*Q10)  -(1-0.002516*M10)*(1-0.002516*M10)*2117*COS(2*R10-Q10) +(1-0.002516*M10)*(1-0.002516*M10)*2354*COS(2*S10+2*R10-Q10) -1423*COS(4*S10+Q10) -1117*COS(4*Q10) -(1-0.002516*M10)*1571*COS(4*S10-R10)  -1739*COS(S10-2*Q10) -4421*COS(2*Q10-2*T10) +(1-0.002516*M10)*(1-0.002516*M10)*1165*COS(2*R10+Q10) +8752*COS(2*S10-Q10-2*T10))/1000</f>
        <v>371280.142682478</v>
      </c>
      <c r="AY10" s="10" t="n">
        <f aca="false">AY9+1/8</f>
        <v>2</v>
      </c>
      <c r="AZ10" s="17" t="n">
        <f aca="false">AZ9+1</f>
        <v>9</v>
      </c>
      <c r="BA10" s="32" t="n">
        <f aca="false">ATAN(0.99664719*TAN($A$4*input!$E$2))</f>
        <v>-0.400219206115995</v>
      </c>
      <c r="BB10" s="32" t="n">
        <f aca="false">COS(BA10)</f>
        <v>0.920975608992155</v>
      </c>
      <c r="BC10" s="32" t="n">
        <f aca="false">0.99664719*SIN(BA10)</f>
        <v>-0.388313912533463</v>
      </c>
      <c r="BD10" s="32" t="n">
        <f aca="false">6378.14/AX10</f>
        <v>0.0171787802975896</v>
      </c>
      <c r="BE10" s="33" t="n">
        <f aca="false">MOD(N10-15*AH10,360)</f>
        <v>105.650676644983</v>
      </c>
      <c r="BF10" s="27" t="n">
        <f aca="false">COS($A$4*AG10)*SIN($A$4*BE10)</f>
        <v>0.859244801973863</v>
      </c>
      <c r="BG10" s="27" t="n">
        <f aca="false">COS($A$4*AG10)*COS($A$4*BE10)-BB10*BD10</f>
        <v>-0.256546124087105</v>
      </c>
      <c r="BH10" s="27" t="n">
        <f aca="false">SIN($A$4*AG10)-BC10*BD10</f>
        <v>-0.444715881228713</v>
      </c>
      <c r="BI10" s="46" t="n">
        <f aca="false">SQRT(BF10^2+BG10^2+BH10^2)</f>
        <v>1.00094443328301</v>
      </c>
      <c r="BJ10" s="35" t="n">
        <f aca="false">AX10*BI10</f>
        <v>371630.792006549</v>
      </c>
    </row>
    <row r="11" customFormat="false" ht="15" hidden="false" customHeight="false" outlineLevel="0" collapsed="false">
      <c r="A11" s="20"/>
      <c r="B11" s="20"/>
      <c r="C11" s="15" t="n">
        <f aca="false">MOD(C10+3,24)</f>
        <v>3</v>
      </c>
      <c r="D11" s="17" t="n">
        <v>2</v>
      </c>
      <c r="E11" s="102" t="n">
        <f aca="false">input!$C$2</f>
        <v>10</v>
      </c>
      <c r="F11" s="102" t="n">
        <f aca="false">input!$D$2</f>
        <v>2022</v>
      </c>
      <c r="G11" s="0"/>
      <c r="H11" s="39" t="n">
        <f aca="false">AM11</f>
        <v>-32.4564701484537</v>
      </c>
      <c r="I11" s="48" t="n">
        <f aca="false">H11+1.02/(TAN($A$4*(H11+10.3/(H11+5.11)))*60)</f>
        <v>-32.482815528753</v>
      </c>
      <c r="J11" s="39" t="n">
        <f aca="false">100*(1+COS($A$4*AQ11))/2</f>
        <v>40.1066522923342</v>
      </c>
      <c r="K11" s="48" t="n">
        <f aca="false">IF(AI11&gt;180,AT11-180,AT11+180)</f>
        <v>212.810124914304</v>
      </c>
      <c r="L11" s="10" t="n">
        <f aca="false">L10+1/8</f>
        <v>2459854.625</v>
      </c>
      <c r="M11" s="49" t="n">
        <f aca="false">(L11-2451545)/36525</f>
        <v>0.227505133470226</v>
      </c>
      <c r="N11" s="15" t="n">
        <f aca="false">MOD(280.46061837+360.98564736629*(L11-2451545)+0.000387933*M11^2-M11^3/38710000+$G$4,360)</f>
        <v>55.8206345560029</v>
      </c>
      <c r="O11" s="18" t="n">
        <f aca="false">0.60643382+1336.85522467*M11 - 0.00000313*M11^2 - INT(0.60643382+1336.85522467*M11 - 0.00000313*M11^2)</f>
        <v>0.747859976912821</v>
      </c>
      <c r="P11" s="15" t="n">
        <f aca="false">22640*SIN(Q11)-4586*SIN(Q11-2*S11)+2370*SIN(2*S11)+769*SIN(2*Q11)-668*SIN(R11)-412*SIN(2*T11)-212*SIN(2*Q11-2*S11)-206*SIN(Q11+R11-2*S11)+192*SIN(Q11+2*S11)-165*SIN(R11-2*S11)-125*SIN(S11)-110*SIN(Q11+R11)+148*SIN(Q11-R11)-55*SIN(2*T11-2*S11)</f>
        <v>-6837.95306109294</v>
      </c>
      <c r="Q11" s="18" t="n">
        <f aca="false">2*PI()*(0.374897+1325.55241*M11 - INT(0.374897+1325.55241*M11))</f>
        <v>5.93682445843998</v>
      </c>
      <c r="R11" s="26" t="n">
        <f aca="false">2*PI()*(0.99312619+99.99735956*M11 - 0.00000044*M11^2 - INT(0.99312619+99.99735956*M11- 0.00000044*M11^2))</f>
        <v>4.66865047455777</v>
      </c>
      <c r="S11" s="26" t="n">
        <f aca="false">2*PI()*(0.827361+1236.853086*M11 - INT(0.827361+1236.853086*M11))</f>
        <v>1.36839867653393</v>
      </c>
      <c r="T11" s="26" t="n">
        <f aca="false">2*PI()*(0.259086+1342.227825*M11 - INT(0.259086+1342.227825*M11))</f>
        <v>3.91320848713074</v>
      </c>
      <c r="U11" s="26" t="n">
        <f aca="false">T11+(P11+412*SIN(2*T11)+541*SIN(R11))/206264.8062</f>
        <v>3.87943349516247</v>
      </c>
      <c r="V11" s="26" t="n">
        <f aca="false">T11-2*S11</f>
        <v>1.17641113406288</v>
      </c>
      <c r="W11" s="25" t="n">
        <f aca="false">-526*SIN(V11)+44*SIN(Q11+V11)-31*SIN(-Q11+V11)-23*SIN(R11+V11)+11*SIN(-R11+V11)-25*SIN(-2*Q11+T11)+21*SIN(-Q11+T11)</f>
        <v>-464.603318775121</v>
      </c>
      <c r="X11" s="26" t="n">
        <f aca="false">2*PI()*(O11+P11/1296000-INT(O11+P11/1296000))</f>
        <v>4.66579148681827</v>
      </c>
      <c r="Y11" s="26" t="n">
        <f aca="false">(18520*SIN(U11)+W11)/206264.8062</f>
        <v>-0.0626517775792983</v>
      </c>
      <c r="Z11" s="26" t="n">
        <f aca="false">Y11*180/PI()</f>
        <v>-3.58968243428615</v>
      </c>
      <c r="AA11" s="26" t="n">
        <f aca="false">COS(Y11)*COS(X11)</f>
        <v>-0.0464892420331518</v>
      </c>
      <c r="AB11" s="26" t="n">
        <f aca="false">COS(Y11)*SIN(X11)</f>
        <v>-0.996954682171767</v>
      </c>
      <c r="AC11" s="26" t="n">
        <f aca="false">SIN(Y11)</f>
        <v>-0.0626107983575774</v>
      </c>
      <c r="AD11" s="26" t="n">
        <f aca="false">COS($A$4*(23.4393-46.815*M11/3600))*AB11-SIN($A$4*(23.4393-46.815*M11/3600))*AC11</f>
        <v>-0.889806263856602</v>
      </c>
      <c r="AE11" s="26" t="n">
        <f aca="false">SIN($A$4*(23.4393-46.815*M11/3600))*AB11+COS($A$4*(23.4393-46.815*M11/3600))*AC11</f>
        <v>-0.453964275220792</v>
      </c>
      <c r="AF11" s="26" t="n">
        <f aca="false">SQRT(1-AE11*AE11)</f>
        <v>0.891019885761963</v>
      </c>
      <c r="AG11" s="10" t="n">
        <f aca="false">ATAN(AE11/AF11)/$A$4</f>
        <v>-26.9983136565924</v>
      </c>
      <c r="AH11" s="26" t="n">
        <f aca="false">IF(24*ATAN(AD11/(AA11+AF11))/PI()&gt;0,24*ATAN(AD11/(AA11+AF11))/PI(),24*ATAN(AD11/(AA11+AF11))/PI()+24)</f>
        <v>17.800614448895</v>
      </c>
      <c r="AI11" s="10" t="n">
        <f aca="false">IF(N11-15*AH11&gt;0,N11-15*AH11,360+N11-15*AH11)</f>
        <v>148.811417822578</v>
      </c>
      <c r="AJ11" s="18" t="n">
        <f aca="false">0.950724+0.051818*COS(Q11)+0.009531*COS(2*S11-Q11)+0.007843*COS(2*S11)+0.002824*COS(2*Q11)+0.000857*COS(2*S11+Q11)+0.000533*COS(2*S11-R11)+0.000401*COS(2*S11-R11-Q11)+0.00032*COS(Q11-R11)-0.000271*COS(S11)</f>
        <v>0.984134295601175</v>
      </c>
      <c r="AK11" s="50" t="n">
        <f aca="false">ASIN(COS($A$4*$G$2)*COS($A$4*AG11)*COS($A$4*AI11)+SIN($A$4*$G$2)*SIN($A$4*AG11))/$A$4</f>
        <v>-31.6188636760323</v>
      </c>
      <c r="AL11" s="18" t="n">
        <f aca="false">ASIN((0.9983271+0.0016764*COS($A$4*2*$G$2))*COS($A$4*AK11)*SIN($A$4*AJ11))/$A$4</f>
        <v>0.837606472421465</v>
      </c>
      <c r="AM11" s="18" t="n">
        <f aca="false">AK11-AL11</f>
        <v>-32.4564701484537</v>
      </c>
      <c r="AN11" s="10" t="n">
        <f aca="false"> IF(280.4664567 + 360007.6982779*M11/10 + 0.03032028*M11^2/100 + M11^3/49931000&lt;0,MOD(280.4664567 + 360007.6982779*M11/10 + 0.03032028*M11^2/100 + M11^3/49931000+360,360),MOD(280.4664567 + 360007.6982779*M11/10 + 0.03032028*M11^2/100 + M11^3/49931000,360))</f>
        <v>190.82641709583</v>
      </c>
      <c r="AO11" s="27" t="n">
        <f aca="false"> AN11 + (1.9146 - 0.004817*M11 - 0.000014*M11^2)*SIN(R11)+ (0.019993 - 0.000101*M11)*SIN(2*R11)+ 0.00029*SIN(3*R11)</f>
        <v>188.916775939092</v>
      </c>
      <c r="AP11" s="18" t="n">
        <f aca="false">ACOS(COS(X11-$A$4*AO11)*COS(Y11))/$A$4</f>
        <v>78.4364311480209</v>
      </c>
      <c r="AQ11" s="25" t="n">
        <f aca="false">180 - AP11 -0.1468*(1-0.0549*SIN(R11))*SIN($A$4*AP11)/(1-0.0167*SIN($A$4*AO11))</f>
        <v>101.412251960391</v>
      </c>
      <c r="AR11" s="25" t="n">
        <f aca="false">SIN($A$4*AI11)</f>
        <v>0.517856543298296</v>
      </c>
      <c r="AS11" s="25" t="n">
        <f aca="false">COS($A$4*AI11)*SIN($A$4*$G$2) - TAN($A$4*AG11)*COS($A$4*$G$2)</f>
        <v>0.80324429538945</v>
      </c>
      <c r="AT11" s="25" t="n">
        <f aca="false">IF(OR(AND(AR11*AS11&gt;0), AND(AR11&lt;0,AS11&gt;0)), MOD(ATAN2(AS11,AR11)/$A$4+360,360),  ATAN2(AS11,AR11)/$A$4)</f>
        <v>32.8101249143037</v>
      </c>
      <c r="AU11" s="29" t="n">
        <f aca="false">(1+SIN($A$4*H11)*SIN($A$4*AJ11))*120*ASIN(0.272481*SIN($A$4*AJ11))/$A$4</f>
        <v>31.8808900333833</v>
      </c>
      <c r="AV11" s="10" t="n">
        <f aca="false">COS(X11)</f>
        <v>-0.046580632335704</v>
      </c>
      <c r="AW11" s="10" t="n">
        <f aca="false">SIN(X11)</f>
        <v>-0.998914533226545</v>
      </c>
      <c r="AX11" s="30" t="n">
        <f aca="false"> 385000.56 + (-20905355*COS(Q11) - 3699111*COS(2*S11-Q11) - 2955968*COS(2*S11) - 569925*COS(2*Q11) + (1-0.002516*M11)*48888*COS(R11) - 3149*COS(2*T11)  +246158*COS(2*S11-2*Q11) -(1-0.002516*M11)*152138*COS(2*S11-R11-Q11) -170733*COS(2*S11+Q11) -(1-0.002516*M11)*204586*COS(2*S11-R11) -(1-0.002516*M11)*129620*COS(R11-Q11)  + 108743*COS(S11) +(1-0.002516*M11)*104755*COS(R11+Q11) +10321*COS(2*S11-2*T11) +79661*COS(Q11-2*T11) -34782*COS(4*S11-Q11) -23210*COS(3*Q11)  -21636*COS(4*S11-2*Q11) +(1-0.002516*M11)*24208*COS(2*S11+R11-Q11) +(1-0.002516*M11)*30824*COS(2*S11+R11) -8379*COS(S11-Q11) -(1-0.002516*M11)*16675*COS(S11+R11)  -(1-0.002516*M11)*12831*COS(2*S11-R11+Q11) -10445*COS(2*S11+2*Q11) -11650*COS(4*S11) +14403*COS(2*S11-3*Q11) -(1-0.002516*M11)*7003*COS(R11-2*Q11)  + (1-0.002516*M11)*10056*COS(2*S11-R11-2*Q11) +6322*COS(S11+Q11) -(1-0.002516*M11)*(1-0.002516*M11)*9884*COS(2*S11-2*R11) +(1-0.002516*M11)*5751*COS(R11+2*Q11) -(1-0.002516*M11)*(1-0.002516*M11)*4950*COS(2*S11-2*R11-Q11)  +4130*COS(2*S11+Q11-2*T11) -(1-0.002516*M11)*3958*COS(4*S11-R11-Q11) +3258*COS(3*S11-Q11) +(1-0.002516*M11)*2616*COS(2*S11+R11+Q11) -(1-0.002516*M11)*1897*COS(4*S11-R11-2*Q11)  -(1-0.002516*M11)*(1-0.002516*M11)*2117*COS(2*R11-Q11) +(1-0.002516*M11)*(1-0.002516*M11)*2354*COS(2*S11+2*R11-Q11) -1423*COS(4*S11+Q11) -1117*COS(4*Q11) -(1-0.002516*M11)*1571*COS(4*S11-R11)  -1739*COS(S11-2*Q11) -4421*COS(2*Q11-2*T11) +(1-0.002516*M11)*(1-0.002516*M11)*1165*COS(2*R11+Q11) +8752*COS(2*S11-Q11-2*T11))/1000</f>
        <v>371112.654326797</v>
      </c>
      <c r="AY11" s="10" t="n">
        <f aca="false">AY10+1/8</f>
        <v>2.125</v>
      </c>
      <c r="AZ11" s="17" t="n">
        <f aca="false">AZ10+1</f>
        <v>10</v>
      </c>
      <c r="BA11" s="32" t="n">
        <f aca="false">ATAN(0.99664719*TAN($A$4*input!$E$2))</f>
        <v>-0.400219206115995</v>
      </c>
      <c r="BB11" s="32" t="n">
        <f aca="false">COS(BA11)</f>
        <v>0.920975608992155</v>
      </c>
      <c r="BC11" s="32" t="n">
        <f aca="false">0.99664719*SIN(BA11)</f>
        <v>-0.388313912533463</v>
      </c>
      <c r="BD11" s="32" t="n">
        <f aca="false">6378.14/AX11</f>
        <v>0.0171865333225299</v>
      </c>
      <c r="BE11" s="33" t="n">
        <f aca="false">MOD(N11-15*AH11,360)</f>
        <v>148.811417822578</v>
      </c>
      <c r="BF11" s="27" t="n">
        <f aca="false">COS($A$4*AG11)*SIN($A$4*BE11)</f>
        <v>0.461420478050732</v>
      </c>
      <c r="BG11" s="27" t="n">
        <f aca="false">COS($A$4*AG11)*COS($A$4*BE11)-BB11*BD11</f>
        <v>-0.778066909726322</v>
      </c>
      <c r="BH11" s="27" t="n">
        <f aca="false">SIN($A$4*AG11)-BC11*BD11</f>
        <v>-0.447290505223434</v>
      </c>
      <c r="BI11" s="46" t="n">
        <f aca="false">SQRT(BF11^2+BG11^2+BH11^2)</f>
        <v>1.00914110491976</v>
      </c>
      <c r="BJ11" s="35" t="n">
        <f aca="false">AX11*BI11</f>
        <v>374505.034037048</v>
      </c>
    </row>
    <row r="12" customFormat="false" ht="15" hidden="false" customHeight="false" outlineLevel="0" collapsed="false">
      <c r="A12" s="20"/>
      <c r="B12" s="20"/>
      <c r="C12" s="15" t="n">
        <f aca="false">MOD(C11+3,24)</f>
        <v>6</v>
      </c>
      <c r="D12" s="17" t="n">
        <v>2</v>
      </c>
      <c r="E12" s="102" t="n">
        <f aca="false">input!$C$2</f>
        <v>10</v>
      </c>
      <c r="F12" s="102" t="n">
        <f aca="false">input!$D$2</f>
        <v>2022</v>
      </c>
      <c r="G12" s="0"/>
      <c r="H12" s="39" t="n">
        <f aca="false">AM12</f>
        <v>-39.316766626619</v>
      </c>
      <c r="I12" s="48" t="n">
        <f aca="false">H12+1.02/(TAN($A$4*(H12+10.3/(H12+5.11)))*60)</f>
        <v>-39.3373030471425</v>
      </c>
      <c r="J12" s="39" t="n">
        <f aca="false">100*(1+COS($A$4*AQ12))/2</f>
        <v>41.5087166187989</v>
      </c>
      <c r="K12" s="48" t="n">
        <f aca="false">IF(AI12&gt;180,AT12-180,AT12+180)</f>
        <v>166.354990630974</v>
      </c>
      <c r="L12" s="10" t="n">
        <f aca="false">L11+1/8</f>
        <v>2459854.75</v>
      </c>
      <c r="M12" s="49" t="n">
        <f aca="false">(L12-2451545)/36525</f>
        <v>0.22750855578371</v>
      </c>
      <c r="N12" s="15" t="n">
        <f aca="false">MOD(280.46061837+360.98564736629*(L12-2451545)+0.000387933*M12^2-M12^3/38710000+$G$4,360)</f>
        <v>100.94384047715</v>
      </c>
      <c r="O12" s="18" t="n">
        <f aca="false">0.60643382+1336.85522467*M12 - 0.00000313*M12^2 - INT(0.60643382+1336.85522467*M12 - 0.00000313*M12^2)</f>
        <v>0.75243511456938</v>
      </c>
      <c r="P12" s="15" t="n">
        <f aca="false">22640*SIN(Q12)-4586*SIN(Q12-2*S12)+2370*SIN(2*S12)+769*SIN(2*Q12)-668*SIN(R12)-412*SIN(2*T12)-212*SIN(2*Q12-2*S12)-206*SIN(Q12+R12-2*S12)+192*SIN(Q12+2*S12)-165*SIN(R12-2*S12)-125*SIN(S12)-110*SIN(Q12+R12)+148*SIN(Q12-R12)-55*SIN(2*T12-2*S12)</f>
        <v>-6435.82741337744</v>
      </c>
      <c r="Q12" s="18" t="n">
        <f aca="false">2*PI()*(0.374897+1325.55241*M12 - INT(0.374897+1325.55241*M12))</f>
        <v>5.96532785141178</v>
      </c>
      <c r="R12" s="26" t="n">
        <f aca="false">2*PI()*(0.99312619+99.99735956*M12 - 0.00000044*M12^2 - INT(0.99312619+99.99735956*M12- 0.00000044*M12^2))</f>
        <v>4.6708007207559</v>
      </c>
      <c r="S12" s="26" t="n">
        <f aca="false">2*PI()*(0.827361+1236.853086*M12 - INT(0.827361+1236.853086*M12))</f>
        <v>1.39499476529885</v>
      </c>
      <c r="T12" s="26" t="n">
        <f aca="false">2*PI()*(0.259086+1342.227825*M12 - INT(0.259086+1342.227825*M12))</f>
        <v>3.94207045204814</v>
      </c>
      <c r="U12" s="26" t="n">
        <f aca="false">T12+(P12+412*SIN(2*T12)+541*SIN(R12))/206264.8062</f>
        <v>3.91024463013963</v>
      </c>
      <c r="V12" s="26" t="n">
        <f aca="false">T12-2*S12</f>
        <v>1.15208092145044</v>
      </c>
      <c r="W12" s="25" t="n">
        <f aca="false">-526*SIN(V12)+44*SIN(Q12+V12)-31*SIN(-Q12+V12)-23*SIN(R12+V12)+11*SIN(-R12+V12)-25*SIN(-2*Q12+T12)+21*SIN(-Q12+T12)</f>
        <v>-458.653428194508</v>
      </c>
      <c r="X12" s="26" t="n">
        <f aca="false">2*PI()*(O12+P12/1296000-INT(O12+P12/1296000))</f>
        <v>4.69648748467567</v>
      </c>
      <c r="Y12" s="26" t="n">
        <f aca="false">(18520*SIN(U12)+W12)/206264.8062</f>
        <v>-0.0646409034185517</v>
      </c>
      <c r="Z12" s="26" t="n">
        <f aca="false">Y12*180/PI()</f>
        <v>-3.70365094979579</v>
      </c>
      <c r="AA12" s="26" t="n">
        <f aca="false">COS(Y12)*COS(X12)</f>
        <v>-0.0158676167741024</v>
      </c>
      <c r="AB12" s="26" t="n">
        <f aca="false">COS(Y12)*SIN(X12)</f>
        <v>-0.997785342098441</v>
      </c>
      <c r="AC12" s="26" t="n">
        <f aca="false">SIN(Y12)</f>
        <v>-0.0645958963975781</v>
      </c>
      <c r="AD12" s="26" t="n">
        <f aca="false">COS($A$4*(23.4393-46.815*M12/3600))*AB12-SIN($A$4*(23.4393-46.815*M12/3600))*AC12</f>
        <v>-0.889778863912196</v>
      </c>
      <c r="AE12" s="26" t="n">
        <f aca="false">SIN($A$4*(23.4393-46.815*M12/3600))*AB12+COS($A$4*(23.4393-46.815*M12/3600))*AC12</f>
        <v>-0.456115985329424</v>
      </c>
      <c r="AF12" s="26" t="n">
        <f aca="false">SQRT(1-AE12*AE12)</f>
        <v>0.889920337966814</v>
      </c>
      <c r="AG12" s="10" t="n">
        <f aca="false">ATAN(AE12/AF12)/$A$4</f>
        <v>-27.1367617036758</v>
      </c>
      <c r="AH12" s="26" t="n">
        <f aca="false">IF(24*ATAN(AD12/(AA12+AF12))/PI()&gt;0,24*ATAN(AD12/(AA12+AF12))/PI(),24*ATAN(AD12/(AA12+AF12))/PI()+24)</f>
        <v>17.9318893603356</v>
      </c>
      <c r="AI12" s="10" t="n">
        <f aca="false">IF(N12-15*AH12&gt;0,N12-15*AH12,360+N12-15*AH12)</f>
        <v>191.965500072116</v>
      </c>
      <c r="AJ12" s="18" t="n">
        <f aca="false">0.950724+0.051818*COS(Q12)+0.009531*COS(2*S12-Q12)+0.007843*COS(2*S12)+0.002824*COS(2*Q12)+0.000857*COS(2*S12+Q12)+0.000533*COS(2*S12-R12)+0.000401*COS(2*S12-R12-Q12)+0.00032*COS(Q12-R12)-0.000271*COS(S12)</f>
        <v>0.984538270679968</v>
      </c>
      <c r="AK12" s="50" t="n">
        <f aca="false">ASIN(COS($A$4*$G$2)*COS($A$4*AG12)*COS($A$4*AI12)+SIN($A$4*$G$2)*SIN($A$4*AG12))/$A$4</f>
        <v>-38.5471699624967</v>
      </c>
      <c r="AL12" s="18" t="n">
        <f aca="false">ASIN((0.9983271+0.0016764*COS($A$4*2*$G$2))*COS($A$4*AK12)*SIN($A$4*AJ12))/$A$4</f>
        <v>0.769596664122258</v>
      </c>
      <c r="AM12" s="18" t="n">
        <f aca="false">AK12-AL12</f>
        <v>-39.316766626619</v>
      </c>
      <c r="AN12" s="10" t="n">
        <f aca="false"> IF(280.4664567 + 360007.6982779*M12/10 + 0.03032028*M12^2/100 + M12^3/49931000&lt;0,MOD(280.4664567 + 360007.6982779*M12/10 + 0.03032028*M12^2/100 + M12^3/49931000+360,360),MOD(280.4664567 + 360007.6982779*M12/10 + 0.03032028*M12^2/100 + M12^3/49931000,360))</f>
        <v>190.949623016315</v>
      </c>
      <c r="AO12" s="27" t="n">
        <f aca="false"> AN12 + (1.9146 - 0.004817*M12 - 0.000014*M12^2)*SIN(R12)+ (0.019993 - 0.000101*M12)*SIN(2*R12)+ 0.00029*SIN(3*R12)</f>
        <v>189.039721061052</v>
      </c>
      <c r="AP12" s="18" t="n">
        <f aca="false">ACOS(COS(X12-$A$4*AO12)*COS(Y12))/$A$4</f>
        <v>80.0701833991616</v>
      </c>
      <c r="AQ12" s="25" t="n">
        <f aca="false">180 - AP12 -0.1468*(1-0.0549*SIN(R12))*SIN($A$4*AP12)/(1-0.0167*SIN($A$4*AO12))</f>
        <v>99.7776831622504</v>
      </c>
      <c r="AR12" s="25" t="n">
        <f aca="false">SIN($A$4*AI12)</f>
        <v>-0.207322673974295</v>
      </c>
      <c r="AS12" s="25" t="n">
        <f aca="false">COS($A$4*AI12)*SIN($A$4*$G$2) - TAN($A$4*AG12)*COS($A$4*$G$2)</f>
        <v>0.854033205573928</v>
      </c>
      <c r="AT12" s="25" t="n">
        <f aca="false">IF(OR(AND(AR12*AS12&gt;0), AND(AR12&lt;0,AS12&gt;0)), MOD(ATAN2(AS12,AR12)/$A$4+360,360),  ATAN2(AS12,AR12)/$A$4)</f>
        <v>346.354990630974</v>
      </c>
      <c r="AU12" s="29" t="n">
        <f aca="false">(1+SIN($A$4*H12)*SIN($A$4*AJ12))*120*ASIN(0.272481*SIN($A$4*AJ12))/$A$4</f>
        <v>31.8402296193767</v>
      </c>
      <c r="AV12" s="10" t="n">
        <f aca="false">COS(X12)</f>
        <v>-0.0159008255819141</v>
      </c>
      <c r="AW12" s="10" t="n">
        <f aca="false">SIN(X12)</f>
        <v>-0.999873573881125</v>
      </c>
      <c r="AX12" s="30" t="n">
        <f aca="false"> 385000.56 + (-20905355*COS(Q12) - 3699111*COS(2*S12-Q12) - 2955968*COS(2*S12) - 569925*COS(2*Q12) + (1-0.002516*M12)*48888*COS(R12) - 3149*COS(2*T12)  +246158*COS(2*S12-2*Q12) -(1-0.002516*M12)*152138*COS(2*S12-R12-Q12) -170733*COS(2*S12+Q12) -(1-0.002516*M12)*204586*COS(2*S12-R12) -(1-0.002516*M12)*129620*COS(R12-Q12)  + 108743*COS(S12) +(1-0.002516*M12)*104755*COS(R12+Q12) +10321*COS(2*S12-2*T12) +79661*COS(Q12-2*T12) -34782*COS(4*S12-Q12) -23210*COS(3*Q12)  -21636*COS(4*S12-2*Q12) +(1-0.002516*M12)*24208*COS(2*S12+R12-Q12) +(1-0.002516*M12)*30824*COS(2*S12+R12) -8379*COS(S12-Q12) -(1-0.002516*M12)*16675*COS(S12+R12)  -(1-0.002516*M12)*12831*COS(2*S12-R12+Q12) -10445*COS(2*S12+2*Q12) -11650*COS(4*S12) +14403*COS(2*S12-3*Q12) -(1-0.002516*M12)*7003*COS(R12-2*Q12)  + (1-0.002516*M12)*10056*COS(2*S12-R12-2*Q12) +6322*COS(S12+Q12) -(1-0.002516*M12)*(1-0.002516*M12)*9884*COS(2*S12-2*R12) +(1-0.002516*M12)*5751*COS(R12+2*Q12) -(1-0.002516*M12)*(1-0.002516*M12)*4950*COS(2*S12-2*R12-Q12)  +4130*COS(2*S12+Q12-2*T12) -(1-0.002516*M12)*3958*COS(4*S12-R12-Q12) +3258*COS(3*S12-Q12) +(1-0.002516*M12)*2616*COS(2*S12+R12+Q12) -(1-0.002516*M12)*1897*COS(4*S12-R12-2*Q12)  -(1-0.002516*M12)*(1-0.002516*M12)*2117*COS(2*R12-Q12) +(1-0.002516*M12)*(1-0.002516*M12)*2354*COS(2*S12+2*R12-Q12) -1423*COS(4*S12+Q12) -1117*COS(4*Q12) -(1-0.002516*M12)*1571*COS(4*S12-R12)  -1739*COS(S12-2*Q12) -4421*COS(2*Q12-2*T12) +(1-0.002516*M12)*(1-0.002516*M12)*1165*COS(2*R12+Q12) +8752*COS(2*S12-Q12-2*T12))/1000</f>
        <v>370952.03058333</v>
      </c>
      <c r="AY12" s="10" t="n">
        <f aca="false">AY11+1/8</f>
        <v>2.25</v>
      </c>
      <c r="AZ12" s="17" t="n">
        <f aca="false">AZ11+1</f>
        <v>11</v>
      </c>
      <c r="BA12" s="32" t="n">
        <f aca="false">ATAN(0.99664719*TAN($A$4*input!$E$2))</f>
        <v>-0.400219206115995</v>
      </c>
      <c r="BB12" s="32" t="n">
        <f aca="false">COS(BA12)</f>
        <v>0.920975608992155</v>
      </c>
      <c r="BC12" s="32" t="n">
        <f aca="false">0.99664719*SIN(BA12)</f>
        <v>-0.388313912533463</v>
      </c>
      <c r="BD12" s="32" t="n">
        <f aca="false">6378.14/AX12</f>
        <v>0.0171939751616139</v>
      </c>
      <c r="BE12" s="33" t="n">
        <f aca="false">MOD(N12-15*AH12,360)</f>
        <v>191.965500072116</v>
      </c>
      <c r="BF12" s="27" t="n">
        <f aca="false">COS($A$4*AG12)*SIN($A$4*BE12)</f>
        <v>-0.184500664091388</v>
      </c>
      <c r="BG12" s="27" t="n">
        <f aca="false">COS($A$4*AG12)*COS($A$4*BE12)-BB12*BD12</f>
        <v>-0.886419927726736</v>
      </c>
      <c r="BH12" s="27" t="n">
        <f aca="false">SIN($A$4*AG12)-BC12*BD12</f>
        <v>-0.449439325562415</v>
      </c>
      <c r="BI12" s="46" t="n">
        <f aca="false">SQRT(BF12^2+BG12^2+BH12^2)</f>
        <v>1.01082960516757</v>
      </c>
      <c r="BJ12" s="35" t="n">
        <f aca="false">AX12*BI12</f>
        <v>374969.294610657</v>
      </c>
    </row>
    <row r="13" customFormat="false" ht="15" hidden="false" customHeight="false" outlineLevel="0" collapsed="false">
      <c r="A13" s="103" t="s">
        <v>77</v>
      </c>
      <c r="B13" s="20"/>
      <c r="C13" s="15" t="n">
        <f aca="false">MOD(C12+3,24)</f>
        <v>9</v>
      </c>
      <c r="D13" s="17" t="n">
        <v>2</v>
      </c>
      <c r="E13" s="102" t="n">
        <f aca="false">input!$C$2</f>
        <v>10</v>
      </c>
      <c r="F13" s="102" t="n">
        <f aca="false">input!$D$2</f>
        <v>2022</v>
      </c>
      <c r="G13" s="0"/>
      <c r="H13" s="39" t="n">
        <f aca="false">AM13</f>
        <v>-17.7504915764103</v>
      </c>
      <c r="I13" s="48" t="n">
        <f aca="false">H13+1.02/(TAN($A$4*(H13+10.3/(H13+5.11)))*60)</f>
        <v>-17.8011073403497</v>
      </c>
      <c r="J13" s="39" t="n">
        <f aca="false">100*(1+COS($A$4*AQ13))/2</f>
        <v>42.9186293932217</v>
      </c>
      <c r="K13" s="48" t="n">
        <f aca="false">IF(AI13&gt;180,AT13-180,AT13+180)</f>
        <v>130.375723666866</v>
      </c>
      <c r="L13" s="10" t="n">
        <f aca="false">L12+1/8</f>
        <v>2459854.875</v>
      </c>
      <c r="M13" s="49" t="n">
        <f aca="false">(L13-2451545)/36525</f>
        <v>0.227511978097194</v>
      </c>
      <c r="N13" s="15" t="n">
        <f aca="false">MOD(280.46061837+360.98564736629*(L13-2451545)+0.000387933*M13^2-M13^3/38710000+$G$4,360)</f>
        <v>146.067046398763</v>
      </c>
      <c r="O13" s="18" t="n">
        <f aca="false">0.60643382+1336.85522467*M13 - 0.00000313*M13^2 - INT(0.60643382+1336.85522467*M13 - 0.00000313*M13^2)</f>
        <v>0.757010252225882</v>
      </c>
      <c r="P13" s="15" t="n">
        <f aca="false">22640*SIN(Q13)-4586*SIN(Q13-2*S13)+2370*SIN(2*S13)+769*SIN(2*Q13)-668*SIN(R13)-412*SIN(2*T13)-212*SIN(2*Q13-2*S13)-206*SIN(Q13+R13-2*S13)+192*SIN(Q13+2*S13)-165*SIN(R13-2*S13)-125*SIN(S13)-110*SIN(Q13+R13)+148*SIN(Q13-R13)-55*SIN(2*T13-2*S13)</f>
        <v>-6027.8942151822</v>
      </c>
      <c r="Q13" s="18" t="n">
        <f aca="false">2*PI()*(0.374897+1325.55241*M13 - INT(0.374897+1325.55241*M13))</f>
        <v>5.99383124438357</v>
      </c>
      <c r="R13" s="26" t="n">
        <f aca="false">2*PI()*(0.99312619+99.99735956*M13 - 0.00000044*M13^2 - INT(0.99312619+99.99735956*M13- 0.00000044*M13^2))</f>
        <v>4.67295096695398</v>
      </c>
      <c r="S13" s="26" t="n">
        <f aca="false">2*PI()*(0.827361+1236.853086*M13 - INT(0.827361+1236.853086*M13))</f>
        <v>1.42159085406378</v>
      </c>
      <c r="T13" s="26" t="n">
        <f aca="false">2*PI()*(0.259086+1342.227825*M13 - INT(0.259086+1342.227825*M13))</f>
        <v>3.9709324169659</v>
      </c>
      <c r="U13" s="26" t="n">
        <f aca="false">T13+(P13+412*SIN(2*T13)+541*SIN(R13))/206264.8062</f>
        <v>3.94107728235779</v>
      </c>
      <c r="V13" s="26" t="n">
        <f aca="false">T13-2*S13</f>
        <v>1.12775070883835</v>
      </c>
      <c r="W13" s="25" t="n">
        <f aca="false">-526*SIN(V13)+44*SIN(Q13+V13)-31*SIN(-Q13+V13)-23*SIN(R13+V13)+11*SIN(-R13+V13)-25*SIN(-2*Q13+T13)+21*SIN(-Q13+T13)</f>
        <v>-452.361060889172</v>
      </c>
      <c r="X13" s="26" t="n">
        <f aca="false">2*PI()*(O13+P13/1296000-INT(O13+P13/1296000))</f>
        <v>4.72721163833196</v>
      </c>
      <c r="Y13" s="26" t="n">
        <f aca="false">(18520*SIN(U13)+W13)/206264.8062</f>
        <v>-0.0665704659655365</v>
      </c>
      <c r="Z13" s="26" t="n">
        <f aca="false">Y13*180/PI()</f>
        <v>-3.81420674004453</v>
      </c>
      <c r="AA13" s="26" t="n">
        <f aca="false">COS(Y13)*COS(X13)</f>
        <v>0.0147892842540482</v>
      </c>
      <c r="AB13" s="26" t="n">
        <f aca="false">COS(Y13)*SIN(X13)</f>
        <v>-0.997675394456801</v>
      </c>
      <c r="AC13" s="26" t="n">
        <f aca="false">SIN(Y13)</f>
        <v>-0.0665213076143235</v>
      </c>
      <c r="AD13" s="26" t="n">
        <f aca="false">COS($A$4*(23.4393-46.815*M13/3600))*AB13-SIN($A$4*(23.4393-46.815*M13/3600))*AC13</f>
        <v>-0.888912193374231</v>
      </c>
      <c r="AE13" s="26" t="n">
        <f aca="false">SIN($A$4*(23.4393-46.815*M13/3600))*AB13+COS($A$4*(23.4393-46.815*M13/3600))*AC13</f>
        <v>-0.457838824852007</v>
      </c>
      <c r="AF13" s="26" t="n">
        <f aca="false">SQRT(1-AE13*AE13)</f>
        <v>0.889035213283554</v>
      </c>
      <c r="AG13" s="10" t="n">
        <f aca="false">ATAN(AE13/AF13)/$A$4</f>
        <v>-27.2477385096924</v>
      </c>
      <c r="AH13" s="26" t="n">
        <f aca="false">IF(24*ATAN(AD13/(AA13+AF13))/PI()&gt;0,24*ATAN(AD13/(AA13+AF13))/PI(),24*ATAN(AD13/(AA13+AF13))/PI()+24)</f>
        <v>18.0635447388221</v>
      </c>
      <c r="AI13" s="10" t="n">
        <f aca="false">IF(N13-15*AH13&gt;0,N13-15*AH13,360+N13-15*AH13)</f>
        <v>235.113875316431</v>
      </c>
      <c r="AJ13" s="18" t="n">
        <f aca="false">0.950724+0.051818*COS(Q13)+0.009531*COS(2*S13-Q13)+0.007843*COS(2*S13)+0.002824*COS(2*Q13)+0.000857*COS(2*S13+Q13)+0.000533*COS(2*S13-R13)+0.000401*COS(2*S13-R13-Q13)+0.00032*COS(Q13-R13)-0.000271*COS(S13)</f>
        <v>0.984926387551708</v>
      </c>
      <c r="AK13" s="50" t="n">
        <f aca="false">ASIN(COS($A$4*$G$2)*COS($A$4*AG13)*COS($A$4*AI13)+SIN($A$4*$G$2)*SIN($A$4*AG13))/$A$4</f>
        <v>-16.8081259705294</v>
      </c>
      <c r="AL13" s="18" t="n">
        <f aca="false">ASIN((0.9983271+0.0016764*COS($A$4*2*$G$2))*COS($A$4*AK13)*SIN($A$4*AJ13))/$A$4</f>
        <v>0.942365605880913</v>
      </c>
      <c r="AM13" s="18" t="n">
        <f aca="false">AK13-AL13</f>
        <v>-17.7504915764103</v>
      </c>
      <c r="AN13" s="10" t="n">
        <f aca="false"> IF(280.4664567 + 360007.6982779*M13/10 + 0.03032028*M13^2/100 + M13^3/49931000&lt;0,MOD(280.4664567 + 360007.6982779*M13/10 + 0.03032028*M13^2/100 + M13^3/49931000+360,360),MOD(280.4664567 + 360007.6982779*M13/10 + 0.03032028*M13^2/100 + M13^3/49931000,360))</f>
        <v>191.0728289368</v>
      </c>
      <c r="AO13" s="27" t="n">
        <f aca="false"> AN13 + (1.9146 - 0.004817*M13 - 0.000014*M13^2)*SIN(R13)+ (0.019993 - 0.000101*M13)*SIN(2*R13)+ 0.00029*SIN(3*R13)</f>
        <v>189.162674979902</v>
      </c>
      <c r="AP13" s="18" t="n">
        <f aca="false">ACOS(COS(X13-$A$4*AO13)*COS(Y13))/$A$4</f>
        <v>81.7051447848553</v>
      </c>
      <c r="AQ13" s="25" t="n">
        <f aca="false">180 - AP13 -0.1468*(1-0.0549*SIN(R13))*SIN($A$4*AP13)/(1-0.0167*SIN($A$4*AO13))</f>
        <v>98.1420285271679</v>
      </c>
      <c r="AR13" s="25" t="n">
        <f aca="false">SIN($A$4*AI13)</f>
        <v>-0.820290408364253</v>
      </c>
      <c r="AS13" s="25" t="n">
        <f aca="false">COS($A$4*AI13)*SIN($A$4*$G$2) - TAN($A$4*AG13)*COS($A$4*$G$2)</f>
        <v>0.697522773728039</v>
      </c>
      <c r="AT13" s="25" t="n">
        <f aca="false">IF(OR(AND(AR13*AS13&gt;0), AND(AR13&lt;0,AS13&gt;0)), MOD(ATAN2(AS13,AR13)/$A$4+360,360),  ATAN2(AS13,AR13)/$A$4)</f>
        <v>310.375723666866</v>
      </c>
      <c r="AU13" s="29" t="n">
        <f aca="false">(1+SIN($A$4*H13)*SIN($A$4*AJ13))*120*ASIN(0.272481*SIN($A$4*AJ13))/$A$4</f>
        <v>32.0346150620353</v>
      </c>
      <c r="AV13" s="10" t="n">
        <f aca="false">COS(X13)</f>
        <v>0.014822115169268</v>
      </c>
      <c r="AW13" s="10" t="n">
        <f aca="false">SIN(X13)</f>
        <v>-0.99989014641705</v>
      </c>
      <c r="AX13" s="30" t="n">
        <f aca="false"> 385000.56 + (-20905355*COS(Q13) - 3699111*COS(2*S13-Q13) - 2955968*COS(2*S13) - 569925*COS(2*Q13) + (1-0.002516*M13)*48888*COS(R13) - 3149*COS(2*T13)  +246158*COS(2*S13-2*Q13) -(1-0.002516*M13)*152138*COS(2*S13-R13-Q13) -170733*COS(2*S13+Q13) -(1-0.002516*M13)*204586*COS(2*S13-R13) -(1-0.002516*M13)*129620*COS(R13-Q13)  + 108743*COS(S13) +(1-0.002516*M13)*104755*COS(R13+Q13) +10321*COS(2*S13-2*T13) +79661*COS(Q13-2*T13) -34782*COS(4*S13-Q13) -23210*COS(3*Q13)  -21636*COS(4*S13-2*Q13) +(1-0.002516*M13)*24208*COS(2*S13+R13-Q13) +(1-0.002516*M13)*30824*COS(2*S13+R13) -8379*COS(S13-Q13) -(1-0.002516*M13)*16675*COS(S13+R13)  -(1-0.002516*M13)*12831*COS(2*S13-R13+Q13) -10445*COS(2*S13+2*Q13) -11650*COS(4*S13) +14403*COS(2*S13-3*Q13) -(1-0.002516*M13)*7003*COS(R13-2*Q13)  + (1-0.002516*M13)*10056*COS(2*S13-R13-2*Q13) +6322*COS(S13+Q13) -(1-0.002516*M13)*(1-0.002516*M13)*9884*COS(2*S13-2*R13) +(1-0.002516*M13)*5751*COS(R13+2*Q13) -(1-0.002516*M13)*(1-0.002516*M13)*4950*COS(2*S13-2*R13-Q13)  +4130*COS(2*S13+Q13-2*T13) -(1-0.002516*M13)*3958*COS(4*S13-R13-Q13) +3258*COS(3*S13-Q13) +(1-0.002516*M13)*2616*COS(2*S13+R13+Q13) -(1-0.002516*M13)*1897*COS(4*S13-R13-2*Q13)  -(1-0.002516*M13)*(1-0.002516*M13)*2117*COS(2*R13-Q13) +(1-0.002516*M13)*(1-0.002516*M13)*2354*COS(2*S13+2*R13-Q13) -1423*COS(4*S13+Q13) -1117*COS(4*Q13) -(1-0.002516*M13)*1571*COS(4*S13-R13)  -1739*COS(S13-2*Q13) -4421*COS(2*Q13-2*T13) +(1-0.002516*M13)*(1-0.002516*M13)*1165*COS(2*R13+Q13) +8752*COS(2*S13-Q13-2*T13))/1000</f>
        <v>370798.32134811</v>
      </c>
      <c r="AY13" s="10" t="n">
        <f aca="false">AY12+1/8</f>
        <v>2.375</v>
      </c>
      <c r="AZ13" s="17" t="n">
        <f aca="false">AZ12+1</f>
        <v>12</v>
      </c>
      <c r="BA13" s="32" t="n">
        <f aca="false">ATAN(0.99664719*TAN($A$4*input!$E$2))</f>
        <v>-0.400219206115995</v>
      </c>
      <c r="BB13" s="32" t="n">
        <f aca="false">COS(BA13)</f>
        <v>0.920975608992155</v>
      </c>
      <c r="BC13" s="32" t="n">
        <f aca="false">0.99664719*SIN(BA13)</f>
        <v>-0.388313912533463</v>
      </c>
      <c r="BD13" s="32" t="n">
        <f aca="false">6378.14/AX13</f>
        <v>0.0172011026824799</v>
      </c>
      <c r="BE13" s="33" t="n">
        <f aca="false">MOD(N13-15*AH13,360)</f>
        <v>235.113875316431</v>
      </c>
      <c r="BF13" s="27" t="n">
        <f aca="false">COS($A$4*AG13)*SIN($A$4*BE13)</f>
        <v>-0.729267058154567</v>
      </c>
      <c r="BG13" s="27" t="n">
        <f aca="false">COS($A$4*AG13)*COS($A$4*BE13)-BB13*BD13</f>
        <v>-0.52432303298654</v>
      </c>
      <c r="BH13" s="27" t="n">
        <f aca="false">SIN($A$4*AG13)-BC13*BD13</f>
        <v>-0.451159397369483</v>
      </c>
      <c r="BI13" s="46" t="n">
        <f aca="false">SQRT(BF13^2+BG13^2+BH13^2)</f>
        <v>1.00513177587042</v>
      </c>
      <c r="BJ13" s="35" t="n">
        <f aca="false">AX13*BI13</f>
        <v>372701.175226395</v>
      </c>
    </row>
    <row r="14" customFormat="false" ht="15" hidden="false" customHeight="false" outlineLevel="0" collapsed="false">
      <c r="A14" s="104" t="s">
        <v>10</v>
      </c>
      <c r="B14" s="20"/>
      <c r="C14" s="15" t="n">
        <f aca="false">MOD(C13+3,24)</f>
        <v>12</v>
      </c>
      <c r="D14" s="17" t="n">
        <v>2</v>
      </c>
      <c r="E14" s="102" t="n">
        <f aca="false">input!$C$2</f>
        <v>10</v>
      </c>
      <c r="F14" s="102" t="n">
        <f aca="false">input!$D$2</f>
        <v>2022</v>
      </c>
      <c r="G14" s="0"/>
      <c r="H14" s="39" t="n">
        <f aca="false">AM14</f>
        <v>16.3277167216025</v>
      </c>
      <c r="I14" s="48" t="n">
        <f aca="false">H14+1.02/(TAN($A$4*(H14+10.3/(H14+5.11)))*60)</f>
        <v>16.3839944049401</v>
      </c>
      <c r="J14" s="39" t="n">
        <f aca="false">100*(1+COS($A$4*AQ14))/2</f>
        <v>44.3352197372775</v>
      </c>
      <c r="K14" s="48" t="n">
        <f aca="false">IF(AI14&gt;180,AT14-180,AT14+180)</f>
        <v>112.977771675675</v>
      </c>
      <c r="L14" s="10" t="n">
        <f aca="false">L13+1/8</f>
        <v>2459855</v>
      </c>
      <c r="M14" s="49" t="n">
        <f aca="false">(L14-2451545)/36525</f>
        <v>0.227515400410678</v>
      </c>
      <c r="N14" s="15" t="n">
        <f aca="false">MOD(280.46061837+360.98564736629*(L14-2451545)+0.000387933*M14^2-M14^3/38710000+$G$4,360)</f>
        <v>191.190252320375</v>
      </c>
      <c r="O14" s="18" t="n">
        <f aca="false">0.60643382+1336.85522467*M14 - 0.00000313*M14^2 - INT(0.60643382+1336.85522467*M14 - 0.00000313*M14^2)</f>
        <v>0.761585389882498</v>
      </c>
      <c r="P14" s="15" t="n">
        <f aca="false">22640*SIN(Q14)-4586*SIN(Q14-2*S14)+2370*SIN(2*S14)+769*SIN(2*Q14)-668*SIN(R14)-412*SIN(2*T14)-212*SIN(2*Q14-2*S14)-206*SIN(Q14+R14-2*S14)+192*SIN(Q14+2*S14)-165*SIN(R14-2*S14)-125*SIN(S14)-110*SIN(Q14+R14)+148*SIN(Q14-R14)-55*SIN(2*T14-2*S14)</f>
        <v>-5614.27913884361</v>
      </c>
      <c r="Q14" s="18" t="n">
        <f aca="false">2*PI()*(0.374897+1325.55241*M14 - INT(0.374897+1325.55241*M14))</f>
        <v>6.02233463735573</v>
      </c>
      <c r="R14" s="26" t="n">
        <f aca="false">2*PI()*(0.99312619+99.99735956*M14 - 0.00000044*M14^2 - INT(0.99312619+99.99735956*M14- 0.00000044*M14^2))</f>
        <v>4.67510121315208</v>
      </c>
      <c r="S14" s="26" t="n">
        <f aca="false">2*PI()*(0.827361+1236.853086*M14 - INT(0.827361+1236.853086*M14))</f>
        <v>1.44818694282834</v>
      </c>
      <c r="T14" s="26" t="n">
        <f aca="false">2*PI()*(0.259086+1342.227825*M14 - INT(0.259086+1342.227825*M14))</f>
        <v>3.9997943818833</v>
      </c>
      <c r="U14" s="26" t="n">
        <f aca="false">T14+(P14+412*SIN(2*T14)+541*SIN(R14))/206264.8062</f>
        <v>3.97193086519304</v>
      </c>
      <c r="V14" s="26" t="n">
        <f aca="false">T14-2*S14</f>
        <v>1.10342049622662</v>
      </c>
      <c r="W14" s="25" t="n">
        <f aca="false">-526*SIN(V14)+44*SIN(Q14+V14)-31*SIN(-Q14+V14)-23*SIN(R14+V14)+11*SIN(-R14+V14)-25*SIN(-2*Q14+T14)+21*SIN(-Q14+T14)</f>
        <v>-445.730292928979</v>
      </c>
      <c r="X14" s="26" t="n">
        <f aca="false">2*PI()*(O14+P14/1296000-INT(O14+P14/1296000))</f>
        <v>4.75796333851156</v>
      </c>
      <c r="Y14" s="26" t="n">
        <f aca="false">(18520*SIN(U14)+W14)/206264.8062</f>
        <v>-0.0684384601003405</v>
      </c>
      <c r="Z14" s="26" t="n">
        <f aca="false">Y14*180/PI()</f>
        <v>-3.92123492012399</v>
      </c>
      <c r="AA14" s="26" t="n">
        <f aca="false">COS(Y14)*COS(X14)</f>
        <v>0.0454519307457458</v>
      </c>
      <c r="AB14" s="26" t="n">
        <f aca="false">COS(Y14)*SIN(X14)</f>
        <v>-0.996623101948428</v>
      </c>
      <c r="AC14" s="26" t="n">
        <f aca="false">SIN(Y14)</f>
        <v>-0.0683850470072074</v>
      </c>
      <c r="AD14" s="26" t="n">
        <f aca="false">COS($A$4*(23.4393-46.815*M14/3600))*AB14-SIN($A$4*(23.4393-46.815*M14/3600))*AC14</f>
        <v>-0.88720544776013</v>
      </c>
      <c r="AE14" s="26" t="n">
        <f aca="false">SIN($A$4*(23.4393-46.815*M14/3600))*AB14+COS($A$4*(23.4393-46.815*M14/3600))*AC14</f>
        <v>-0.459130281571834</v>
      </c>
      <c r="AF14" s="26" t="n">
        <f aca="false">SQRT(1-AE14*AE14)</f>
        <v>0.88836894618383</v>
      </c>
      <c r="AG14" s="10" t="n">
        <f aca="false">ATAN(AE14/AF14)/$A$4</f>
        <v>-27.3310003902884</v>
      </c>
      <c r="AH14" s="26" t="n">
        <f aca="false">IF(24*ATAN(AD14/(AA14+AF14))/PI()&gt;0,24*ATAN(AD14/(AA14+AF14))/PI(),24*ATAN(AD14/(AA14+AF14))/PI()+24)</f>
        <v>18.1955149617911</v>
      </c>
      <c r="AI14" s="10" t="n">
        <f aca="false">IF(N14-15*AH14&gt;0,N14-15*AH14,360+N14-15*AH14)</f>
        <v>278.257527893508</v>
      </c>
      <c r="AJ14" s="18" t="n">
        <f aca="false">0.950724+0.051818*COS(Q14)+0.009531*COS(2*S14-Q14)+0.007843*COS(2*S14)+0.002824*COS(2*Q14)+0.000857*COS(2*S14+Q14)+0.000533*COS(2*S14-R14)+0.000401*COS(2*S14-R14-Q14)+0.00032*COS(Q14-R14)-0.000271*COS(S14)</f>
        <v>0.985298571538282</v>
      </c>
      <c r="AK14" s="50" t="n">
        <f aca="false">ASIN(COS($A$4*$G$2)*COS($A$4*AG14)*COS($A$4*AI14)+SIN($A$4*$G$2)*SIN($A$4*AG14))/$A$4</f>
        <v>17.2681215988612</v>
      </c>
      <c r="AL14" s="18" t="n">
        <f aca="false">ASIN((0.9983271+0.0016764*COS($A$4*2*$G$2))*COS($A$4*AK14)*SIN($A$4*AJ14))/$A$4</f>
        <v>0.940404877258762</v>
      </c>
      <c r="AM14" s="18" t="n">
        <f aca="false">AK14-AL14</f>
        <v>16.3277167216025</v>
      </c>
      <c r="AN14" s="10" t="n">
        <f aca="false"> IF(280.4664567 + 360007.6982779*M14/10 + 0.03032028*M14^2/100 + M14^3/49931000&lt;0,MOD(280.4664567 + 360007.6982779*M14/10 + 0.03032028*M14^2/100 + M14^3/49931000+360,360),MOD(280.4664567 + 360007.6982779*M14/10 + 0.03032028*M14^2/100 + M14^3/49931000,360))</f>
        <v>191.196034857283</v>
      </c>
      <c r="AO14" s="27" t="n">
        <f aca="false"> AN14 + (1.9146 - 0.004817*M14 - 0.000014*M14^2)*SIN(R14)+ (0.019993 - 0.000101*M14)*SIN(2*R14)+ 0.00029*SIN(3*R14)</f>
        <v>189.285637697984</v>
      </c>
      <c r="AP14" s="18" t="n">
        <f aca="false">ACOS(COS(X14-$A$4*AO14)*COS(Y14))/$A$4</f>
        <v>83.3412762862477</v>
      </c>
      <c r="AQ14" s="25" t="n">
        <f aca="false">180 - AP14 -0.1468*(1-0.0549*SIN(R14))*SIN($A$4*AP14)/(1-0.0167*SIN($A$4*AO14))</f>
        <v>96.505327918924</v>
      </c>
      <c r="AR14" s="25" t="n">
        <f aca="false">SIN($A$4*AI14)</f>
        <v>-0.989632525280516</v>
      </c>
      <c r="AS14" s="25" t="n">
        <f aca="false">COS($A$4*AI14)*SIN($A$4*$G$2) - TAN($A$4*AG14)*COS($A$4*$G$2)</f>
        <v>0.419621046528799</v>
      </c>
      <c r="AT14" s="25" t="n">
        <f aca="false">IF(OR(AND(AR14*AS14&gt;0), AND(AR14&lt;0,AS14&gt;0)), MOD(ATAN2(AS14,AR14)/$A$4+360,360),  ATAN2(AS14,AR14)/$A$4)</f>
        <v>292.977771675675</v>
      </c>
      <c r="AU14" s="29" t="n">
        <f aca="false">(1+SIN($A$4*H14)*SIN($A$4*AJ14))*120*ASIN(0.272481*SIN($A$4*AJ14))/$A$4</f>
        <v>32.3712860382456</v>
      </c>
      <c r="AV14" s="10" t="n">
        <f aca="false">COS(X14)</f>
        <v>0.0455585832735454</v>
      </c>
      <c r="AW14" s="10" t="n">
        <f aca="false">SIN(X14)</f>
        <v>-0.998961668679088</v>
      </c>
      <c r="AX14" s="30" t="n">
        <f aca="false"> 385000.56 + (-20905355*COS(Q14) - 3699111*COS(2*S14-Q14) - 2955968*COS(2*S14) - 569925*COS(2*Q14) + (1-0.002516*M14)*48888*COS(R14) - 3149*COS(2*T14)  +246158*COS(2*S14-2*Q14) -(1-0.002516*M14)*152138*COS(2*S14-R14-Q14) -170733*COS(2*S14+Q14) -(1-0.002516*M14)*204586*COS(2*S14-R14) -(1-0.002516*M14)*129620*COS(R14-Q14)  + 108743*COS(S14) +(1-0.002516*M14)*104755*COS(R14+Q14) +10321*COS(2*S14-2*T14) +79661*COS(Q14-2*T14) -34782*COS(4*S14-Q14) -23210*COS(3*Q14)  -21636*COS(4*S14-2*Q14) +(1-0.002516*M14)*24208*COS(2*S14+R14-Q14) +(1-0.002516*M14)*30824*COS(2*S14+R14) -8379*COS(S14-Q14) -(1-0.002516*M14)*16675*COS(S14+R14)  -(1-0.002516*M14)*12831*COS(2*S14-R14+Q14) -10445*COS(2*S14+2*Q14) -11650*COS(4*S14) +14403*COS(2*S14-3*Q14) -(1-0.002516*M14)*7003*COS(R14-2*Q14)  + (1-0.002516*M14)*10056*COS(2*S14-R14-2*Q14) +6322*COS(S14+Q14) -(1-0.002516*M14)*(1-0.002516*M14)*9884*COS(2*S14-2*R14) +(1-0.002516*M14)*5751*COS(R14+2*Q14) -(1-0.002516*M14)*(1-0.002516*M14)*4950*COS(2*S14-2*R14-Q14)  +4130*COS(2*S14+Q14-2*T14) -(1-0.002516*M14)*3958*COS(4*S14-R14-Q14) +3258*COS(3*S14-Q14) +(1-0.002516*M14)*2616*COS(2*S14+R14+Q14) -(1-0.002516*M14)*1897*COS(4*S14-R14-2*Q14)  -(1-0.002516*M14)*(1-0.002516*M14)*2117*COS(2*R14-Q14) +(1-0.002516*M14)*(1-0.002516*M14)*2354*COS(2*S14+2*R14-Q14) -1423*COS(4*S14+Q14) -1117*COS(4*Q14) -(1-0.002516*M14)*1571*COS(4*S14-R14)  -1739*COS(S14-2*Q14) -4421*COS(2*Q14-2*T14) +(1-0.002516*M14)*(1-0.002516*M14)*1165*COS(2*R14+Q14) +8752*COS(2*S14-Q14-2*T14))/1000</f>
        <v>370651.586057723</v>
      </c>
      <c r="AY14" s="10" t="n">
        <f aca="false">AY13+1/8</f>
        <v>2.5</v>
      </c>
      <c r="AZ14" s="17" t="n">
        <f aca="false">AZ13+1</f>
        <v>13</v>
      </c>
      <c r="BA14" s="32" t="n">
        <f aca="false">ATAN(0.99664719*TAN($A$4*input!$E$2))</f>
        <v>-0.400219206115995</v>
      </c>
      <c r="BB14" s="32" t="n">
        <f aca="false">COS(BA14)</f>
        <v>0.920975608992155</v>
      </c>
      <c r="BC14" s="32" t="n">
        <f aca="false">0.99664719*SIN(BA14)</f>
        <v>-0.388313912533463</v>
      </c>
      <c r="BD14" s="32" t="n">
        <f aca="false">6378.14/AX14</f>
        <v>0.0172079123357824</v>
      </c>
      <c r="BE14" s="33" t="n">
        <f aca="false">MOD(N14-15*AH14,360)</f>
        <v>278.257527893508</v>
      </c>
      <c r="BF14" s="27" t="n">
        <f aca="false">COS($A$4*AG14)*SIN($A$4*BE14)</f>
        <v>-0.879158803592694</v>
      </c>
      <c r="BG14" s="27" t="n">
        <f aca="false">COS($A$4*AG14)*COS($A$4*BE14)-BB14*BD14</f>
        <v>0.111741832563742</v>
      </c>
      <c r="BH14" s="27" t="n">
        <f aca="false">SIN($A$4*AG14)-BC14*BD14</f>
        <v>-0.452448209806194</v>
      </c>
      <c r="BI14" s="46" t="n">
        <f aca="false">SQRT(BF14^2+BG14^2+BH14^2)</f>
        <v>0.995045637966456</v>
      </c>
      <c r="BJ14" s="35" t="n">
        <f aca="false">AX14*BI14</f>
        <v>368815.243912085</v>
      </c>
    </row>
    <row r="15" customFormat="false" ht="15" hidden="false" customHeight="false" outlineLevel="0" collapsed="false">
      <c r="A15" s="103" t="s">
        <v>11</v>
      </c>
      <c r="B15" s="20"/>
      <c r="C15" s="15" t="n">
        <f aca="false">MOD(C14+3,24)</f>
        <v>15</v>
      </c>
      <c r="D15" s="17" t="n">
        <v>2</v>
      </c>
      <c r="E15" s="102" t="n">
        <f aca="false">input!$C$2</f>
        <v>10</v>
      </c>
      <c r="F15" s="102" t="n">
        <f aca="false">input!$D$2</f>
        <v>2022</v>
      </c>
      <c r="G15" s="0"/>
      <c r="H15" s="39" t="n">
        <f aca="false">AM15</f>
        <v>54.3665912061084</v>
      </c>
      <c r="I15" s="48" t="n">
        <f aca="false">H15+1.02/(TAN($A$4*(H15+10.3/(H15+5.11)))*60)</f>
        <v>54.3786993940229</v>
      </c>
      <c r="J15" s="39" t="n">
        <f aca="false">100*(1+COS($A$4*AQ15))/2</f>
        <v>45.7573079104127</v>
      </c>
      <c r="K15" s="48" t="n">
        <f aca="false">IF(AI15&gt;180,AT15-180,AT15+180)</f>
        <v>105.370807887987</v>
      </c>
      <c r="L15" s="10" t="n">
        <f aca="false">L14+1/8</f>
        <v>2459855.125</v>
      </c>
      <c r="M15" s="49" t="n">
        <f aca="false">(L15-2451545)/36525</f>
        <v>0.227518822724162</v>
      </c>
      <c r="N15" s="15" t="n">
        <f aca="false">MOD(280.46061837+360.98564736629*(L15-2451545)+0.000387933*M15^2-M15^3/38710000+$G$4,360)</f>
        <v>236.313458241522</v>
      </c>
      <c r="O15" s="18" t="n">
        <f aca="false">0.60643382+1336.85522467*M15 - 0.00000313*M15^2 - INT(0.60643382+1336.85522467*M15 - 0.00000313*M15^2)</f>
        <v>0.766160527539057</v>
      </c>
      <c r="P15" s="15" t="n">
        <f aca="false">22640*SIN(Q15)-4586*SIN(Q15-2*S15)+2370*SIN(2*S15)+769*SIN(2*Q15)-668*SIN(R15)-412*SIN(2*T15)-212*SIN(2*Q15-2*S15)-206*SIN(Q15+R15-2*S15)+192*SIN(Q15+2*S15)-165*SIN(R15-2*S15)-125*SIN(S15)-110*SIN(Q15+R15)+148*SIN(Q15-R15)-55*SIN(2*T15-2*S15)</f>
        <v>-5195.11182170888</v>
      </c>
      <c r="Q15" s="18" t="n">
        <f aca="false">2*PI()*(0.374897+1325.55241*M15 - INT(0.374897+1325.55241*M15))</f>
        <v>6.05083803032753</v>
      </c>
      <c r="R15" s="26" t="n">
        <f aca="false">2*PI()*(0.99312619+99.99735956*M15 - 0.00000044*M15^2 - INT(0.99312619+99.99735956*M15- 0.00000044*M15^2))</f>
        <v>4.67725145935021</v>
      </c>
      <c r="S15" s="26" t="n">
        <f aca="false">2*PI()*(0.827361+1236.853086*M15 - INT(0.827361+1236.853086*M15))</f>
        <v>1.47478303159362</v>
      </c>
      <c r="T15" s="26" t="n">
        <f aca="false">2*PI()*(0.259086+1342.227825*M15 - INT(0.259086+1342.227825*M15))</f>
        <v>4.02865634680106</v>
      </c>
      <c r="U15" s="26" t="n">
        <f aca="false">T15+(P15+412*SIN(2*T15)+541*SIN(R15))/206264.8062</f>
        <v>4.00280479487874</v>
      </c>
      <c r="V15" s="26" t="n">
        <f aca="false">T15-2*S15</f>
        <v>1.07909028361382</v>
      </c>
      <c r="W15" s="25" t="n">
        <f aca="false">-526*SIN(V15)+44*SIN(Q15+V15)-31*SIN(-Q15+V15)-23*SIN(R15+V15)+11*SIN(-R15+V15)-25*SIN(-2*Q15+T15)+21*SIN(-Q15+T15)</f>
        <v>-438.765585285342</v>
      </c>
      <c r="X15" s="26" t="n">
        <f aca="false">2*PI()*(O15+P15/1296000-INT(O15+P15/1296000))</f>
        <v>4.78874195671378</v>
      </c>
      <c r="Y15" s="26" t="n">
        <f aca="false">(18520*SIN(U15)+W15)/206264.8062</f>
        <v>-0.0702429380840869</v>
      </c>
      <c r="Z15" s="26" t="n">
        <f aca="false">Y15*180/PI()</f>
        <v>-4.02462389281694</v>
      </c>
      <c r="AA15" s="26" t="n">
        <f aca="false">COS(Y15)*COS(X15)</f>
        <v>0.0760907059990954</v>
      </c>
      <c r="AB15" s="26" t="n">
        <f aca="false">COS(Y15)*SIN(X15)</f>
        <v>-0.994627691043147</v>
      </c>
      <c r="AC15" s="26" t="n">
        <f aca="false">SIN(Y15)</f>
        <v>-0.0701851883999541</v>
      </c>
      <c r="AD15" s="26" t="n">
        <f aca="false">COS($A$4*(23.4393-46.815*M15/3600))*AB15-SIN($A$4*(23.4393-46.815*M15/3600))*AC15</f>
        <v>-0.884658683450923</v>
      </c>
      <c r="AE15" s="26" t="n">
        <f aca="false">SIN($A$4*(23.4393-46.815*M15/3600))*AB15+COS($A$4*(23.4393-46.815*M15/3600))*AC15</f>
        <v>-0.459988280563146</v>
      </c>
      <c r="AF15" s="26" t="n">
        <f aca="false">SQRT(1-AE15*AE15)</f>
        <v>0.887924986552671</v>
      </c>
      <c r="AG15" s="10" t="n">
        <f aca="false">ATAN(AE15/AF15)/$A$4</f>
        <v>-27.3863512714679</v>
      </c>
      <c r="AH15" s="26" t="n">
        <f aca="false">IF(24*ATAN(AD15/(AA15+AF15))/PI()&gt;0,24*ATAN(AD15/(AA15+AF15))/PI(),24*ATAN(AD15/(AA15+AF15))/PI()+24)</f>
        <v>18.3277326399172</v>
      </c>
      <c r="AI15" s="10" t="n">
        <f aca="false">IF(N15-15*AH15&gt;0,N15-15*AH15,360+N15-15*AH15)</f>
        <v>321.397468642765</v>
      </c>
      <c r="AJ15" s="18" t="n">
        <f aca="false">0.950724+0.051818*COS(Q15)+0.009531*COS(2*S15-Q15)+0.007843*COS(2*S15)+0.002824*COS(2*Q15)+0.000857*COS(2*S15+Q15)+0.000533*COS(2*S15-R15)+0.000401*COS(2*S15-R15-Q15)+0.00032*COS(Q15-R15)-0.000271*COS(S15)</f>
        <v>0.985654709530246</v>
      </c>
      <c r="AK15" s="50" t="n">
        <f aca="false">ASIN(COS($A$4*$G$2)*COS($A$4*AG15)*COS($A$4*AI15)+SIN($A$4*$G$2)*SIN($A$4*AG15))/$A$4</f>
        <v>54.9325825602948</v>
      </c>
      <c r="AL15" s="18" t="n">
        <f aca="false">ASIN((0.9983271+0.0016764*COS($A$4*2*$G$2))*COS($A$4*AK15)*SIN($A$4*AJ15))/$A$4</f>
        <v>0.565991354186413</v>
      </c>
      <c r="AM15" s="18" t="n">
        <f aca="false">AK15-AL15</f>
        <v>54.3665912061084</v>
      </c>
      <c r="AN15" s="10" t="n">
        <f aca="false"> IF(280.4664567 + 360007.6982779*M15/10 + 0.03032028*M15^2/100 + M15^3/49931000&lt;0,MOD(280.4664567 + 360007.6982779*M15/10 + 0.03032028*M15^2/100 + M15^3/49931000+360,360),MOD(280.4664567 + 360007.6982779*M15/10 + 0.03032028*M15^2/100 + M15^3/49931000,360))</f>
        <v>191.31924077777</v>
      </c>
      <c r="AO15" s="27" t="n">
        <f aca="false"> AN15 + (1.9146 - 0.004817*M15 - 0.000014*M15^2)*SIN(R15)+ (0.019993 - 0.000101*M15)*SIN(2*R15)+ 0.00029*SIN(3*R15)</f>
        <v>189.408609217608</v>
      </c>
      <c r="AP15" s="18" t="n">
        <f aca="false">ACOS(COS(X15-$A$4*AO15)*COS(Y15))/$A$4</f>
        <v>84.978539717592</v>
      </c>
      <c r="AQ15" s="25" t="n">
        <f aca="false">180 - AP15 -0.1468*(1-0.0549*SIN(R15))*SIN($A$4*AP15)/(1-0.0167*SIN($A$4*AO15))</f>
        <v>94.8676202568017</v>
      </c>
      <c r="AR15" s="25" t="n">
        <f aca="false">SIN($A$4*AI15)</f>
        <v>-0.623914124080023</v>
      </c>
      <c r="AS15" s="25" t="n">
        <f aca="false">COS($A$4*AI15)*SIN($A$4*$G$2) - TAN($A$4*AG15)*COS($A$4*$G$2)</f>
        <v>0.171512628446436</v>
      </c>
      <c r="AT15" s="25" t="n">
        <f aca="false">IF(OR(AND(AR15*AS15&gt;0), AND(AR15&lt;0,AS15&gt;0)), MOD(ATAN2(AS15,AR15)/$A$4+360,360),  ATAN2(AS15,AR15)/$A$4)</f>
        <v>285.370807887987</v>
      </c>
      <c r="AU15" s="29" t="n">
        <f aca="false">(1+SIN($A$4*H15)*SIN($A$4*AJ15))*120*ASIN(0.272481*SIN($A$4*AJ15))/$A$4</f>
        <v>32.677764131984</v>
      </c>
      <c r="AV15" s="10" t="n">
        <f aca="false">COS(X15)</f>
        <v>0.0762788111465734</v>
      </c>
      <c r="AW15" s="10" t="n">
        <f aca="false">SIN(X15)</f>
        <v>-0.997086527323514</v>
      </c>
      <c r="AX15" s="30" t="n">
        <f aca="false"> 385000.56 + (-20905355*COS(Q15) - 3699111*COS(2*S15-Q15) - 2955968*COS(2*S15) - 569925*COS(2*Q15) + (1-0.002516*M15)*48888*COS(R15) - 3149*COS(2*T15)  +246158*COS(2*S15-2*Q15) -(1-0.002516*M15)*152138*COS(2*S15-R15-Q15) -170733*COS(2*S15+Q15) -(1-0.002516*M15)*204586*COS(2*S15-R15) -(1-0.002516*M15)*129620*COS(R15-Q15)  + 108743*COS(S15) +(1-0.002516*M15)*104755*COS(R15+Q15) +10321*COS(2*S15-2*T15) +79661*COS(Q15-2*T15) -34782*COS(4*S15-Q15) -23210*COS(3*Q15)  -21636*COS(4*S15-2*Q15) +(1-0.002516*M15)*24208*COS(2*S15+R15-Q15) +(1-0.002516*M15)*30824*COS(2*S15+R15) -8379*COS(S15-Q15) -(1-0.002516*M15)*16675*COS(S15+R15)  -(1-0.002516*M15)*12831*COS(2*S15-R15+Q15) -10445*COS(2*S15+2*Q15) -11650*COS(4*S15) +14403*COS(2*S15-3*Q15) -(1-0.002516*M15)*7003*COS(R15-2*Q15)  + (1-0.002516*M15)*10056*COS(2*S15-R15-2*Q15) +6322*COS(S15+Q15) -(1-0.002516*M15)*(1-0.002516*M15)*9884*COS(2*S15-2*R15) +(1-0.002516*M15)*5751*COS(R15+2*Q15) -(1-0.002516*M15)*(1-0.002516*M15)*4950*COS(2*S15-2*R15-Q15)  +4130*COS(2*S15+Q15-2*T15) -(1-0.002516*M15)*3958*COS(4*S15-R15-Q15) +3258*COS(3*S15-Q15) +(1-0.002516*M15)*2616*COS(2*S15+R15+Q15) -(1-0.002516*M15)*1897*COS(4*S15-R15-2*Q15)  -(1-0.002516*M15)*(1-0.002516*M15)*2117*COS(2*R15-Q15) +(1-0.002516*M15)*(1-0.002516*M15)*2354*COS(2*S15+2*R15-Q15) -1423*COS(4*S15+Q15) -1117*COS(4*Q15) -(1-0.002516*M15)*1571*COS(4*S15-R15)  -1739*COS(S15-2*Q15) -4421*COS(2*Q15-2*T15) +(1-0.002516*M15)*(1-0.002516*M15)*1165*COS(2*R15+Q15) +8752*COS(2*S15-Q15-2*T15))/1000</f>
        <v>370511.893900111</v>
      </c>
      <c r="AY15" s="10" t="n">
        <f aca="false">AY14+1/8</f>
        <v>2.625</v>
      </c>
      <c r="AZ15" s="17" t="n">
        <f aca="false">AZ14+1</f>
        <v>14</v>
      </c>
      <c r="BA15" s="32" t="n">
        <f aca="false">ATAN(0.99664719*TAN($A$4*input!$E$2))</f>
        <v>-0.400219206115995</v>
      </c>
      <c r="BB15" s="32" t="n">
        <f aca="false">COS(BA15)</f>
        <v>0.920975608992155</v>
      </c>
      <c r="BC15" s="32" t="n">
        <f aca="false">0.99664719*SIN(BA15)</f>
        <v>-0.388313912533463</v>
      </c>
      <c r="BD15" s="32" t="n">
        <f aca="false">6378.14/AX15</f>
        <v>0.0172144001447887</v>
      </c>
      <c r="BE15" s="33" t="n">
        <f aca="false">MOD(N15-15*AH15,360)</f>
        <v>321.397468642765</v>
      </c>
      <c r="BF15" s="27" t="n">
        <f aca="false">COS($A$4*AG15)*SIN($A$4*BE15)</f>
        <v>-0.553988940233776</v>
      </c>
      <c r="BG15" s="27" t="n">
        <f aca="false">COS($A$4*AG15)*COS($A$4*BE15)-BB15*BD15</f>
        <v>0.678053037465059</v>
      </c>
      <c r="BH15" s="27" t="n">
        <f aca="false">SIN($A$4*AG15)-BC15*BD15</f>
        <v>-0.453303689491007</v>
      </c>
      <c r="BI15" s="46" t="n">
        <f aca="false">SQRT(BF15^2+BG15^2+BH15^2)</f>
        <v>0.985973580996516</v>
      </c>
      <c r="BJ15" s="35" t="n">
        <f aca="false">AX15*BI15</f>
        <v>365314.938830494</v>
      </c>
    </row>
    <row r="16" customFormat="false" ht="15" hidden="false" customHeight="false" outlineLevel="0" collapsed="false">
      <c r="A16" s="103"/>
      <c r="B16" s="20"/>
      <c r="C16" s="15" t="n">
        <f aca="false">MOD(C15+3,24)</f>
        <v>18</v>
      </c>
      <c r="D16" s="17" t="n">
        <v>2</v>
      </c>
      <c r="E16" s="102" t="n">
        <f aca="false">input!$C$2</f>
        <v>10</v>
      </c>
      <c r="F16" s="102" t="n">
        <f aca="false">input!$D$2</f>
        <v>2022</v>
      </c>
      <c r="G16" s="0"/>
      <c r="H16" s="39" t="n">
        <f aca="false">AM16</f>
        <v>83.8717271331018</v>
      </c>
      <c r="I16" s="48" t="n">
        <f aca="false">H16+1.02/(TAN($A$4*(H16+10.3/(H16+5.11)))*60)</f>
        <v>83.8735176606121</v>
      </c>
      <c r="J16" s="39" t="n">
        <f aca="false">100*(1+COS($A$4*AQ16))/2</f>
        <v>47.1837062961826</v>
      </c>
      <c r="K16" s="48" t="n">
        <f aca="false">IF(AI16&gt;180,AT16-180,AT16+180)</f>
        <v>221.965691699096</v>
      </c>
      <c r="L16" s="10" t="n">
        <f aca="false">L15+1/8</f>
        <v>2459855.25</v>
      </c>
      <c r="M16" s="49" t="n">
        <f aca="false">(L16-2451545)/36525</f>
        <v>0.227522245037645</v>
      </c>
      <c r="N16" s="15" t="n">
        <f aca="false">MOD(280.46061837+360.98564736629*(L16-2451545)+0.000387933*M16^2-M16^3/38710000+$G$4,360)</f>
        <v>281.436664163135</v>
      </c>
      <c r="O16" s="18" t="n">
        <f aca="false">0.60643382+1336.85522467*M16 - 0.00000313*M16^2 - INT(0.60643382+1336.85522467*M16 - 0.00000313*M16^2)</f>
        <v>0.770735665195559</v>
      </c>
      <c r="P16" s="15" t="n">
        <f aca="false">22640*SIN(Q16)-4586*SIN(Q16-2*S16)+2370*SIN(2*S16)+769*SIN(2*Q16)-668*SIN(R16)-412*SIN(2*T16)-212*SIN(2*Q16-2*S16)-206*SIN(Q16+R16-2*S16)+192*SIN(Q16+2*S16)-165*SIN(R16-2*S16)-125*SIN(S16)-110*SIN(Q16+R16)+148*SIN(Q16-R16)-55*SIN(2*T16-2*S16)</f>
        <v>-4770.52665267505</v>
      </c>
      <c r="Q16" s="18" t="n">
        <f aca="false">2*PI()*(0.374897+1325.55241*M16 - INT(0.374897+1325.55241*M16))</f>
        <v>6.07934142329968</v>
      </c>
      <c r="R16" s="26" t="n">
        <f aca="false">2*PI()*(0.99312619+99.99735956*M16 - 0.00000044*M16^2 - INT(0.99312619+99.99735956*M16- 0.00000044*M16^2))</f>
        <v>4.67940170554829</v>
      </c>
      <c r="S16" s="26" t="n">
        <f aca="false">2*PI()*(0.827361+1236.853086*M16 - INT(0.827361+1236.853086*M16))</f>
        <v>1.50137912035819</v>
      </c>
      <c r="T16" s="26" t="n">
        <f aca="false">2*PI()*(0.259086+1342.227825*M16 - INT(0.259086+1342.227825*M16))</f>
        <v>4.05751831171882</v>
      </c>
      <c r="U16" s="26" t="n">
        <f aca="false">T16+(P16+412*SIN(2*T16)+541*SIN(R16))/206264.8062</f>
        <v>4.03369848654071</v>
      </c>
      <c r="V16" s="26" t="n">
        <f aca="false">T16-2*S16</f>
        <v>1.05476007100245</v>
      </c>
      <c r="W16" s="25" t="n">
        <f aca="false">-526*SIN(V16)+44*SIN(Q16+V16)-31*SIN(-Q16+V16)-23*SIN(R16+V16)+11*SIN(-R16+V16)-25*SIN(-2*Q16+T16)+21*SIN(-Q16+T16)</f>
        <v>-431.471779414268</v>
      </c>
      <c r="X16" s="26" t="n">
        <f aca="false">2*PI()*(O16+P16/1296000-INT(O16+P16/1296000))</f>
        <v>4.81954684140288</v>
      </c>
      <c r="Y16" s="26" t="n">
        <f aca="false">(18520*SIN(U16)+W16)/206264.8062</f>
        <v>-0.0719820117405166</v>
      </c>
      <c r="Z16" s="26" t="n">
        <f aca="false">Y16*180/PI()</f>
        <v>-4.12426547359274</v>
      </c>
      <c r="AA16" s="26" t="n">
        <f aca="false">COS(Y16)*COS(X16)</f>
        <v>0.106675936093735</v>
      </c>
      <c r="AB16" s="26" t="n">
        <f aca="false">COS(Y16)*SIN(X16)</f>
        <v>-0.991689355326246</v>
      </c>
      <c r="AC16" s="26" t="n">
        <f aca="false">SIN(Y16)</f>
        <v>-0.0719198664566322</v>
      </c>
      <c r="AD16" s="26" t="n">
        <f aca="false">COS($A$4*(23.4393-46.815*M16/3600))*AB16-SIN($A$4*(23.4393-46.815*M16/3600))*AC16</f>
        <v>-0.881272819960502</v>
      </c>
      <c r="AE16" s="26" t="n">
        <f aca="false">SIN($A$4*(23.4393-46.815*M16/3600))*AB16+COS($A$4*(23.4393-46.815*M16/3600))*AC16</f>
        <v>-0.460411187372104</v>
      </c>
      <c r="AF16" s="26" t="n">
        <f aca="false">SQRT(1-AE16*AE16)</f>
        <v>0.887705772507203</v>
      </c>
      <c r="AG16" s="10" t="n">
        <f aca="false">ATAN(AE16/AF16)/$A$4</f>
        <v>-27.4136438543417</v>
      </c>
      <c r="AH16" s="26" t="n">
        <f aca="false">IF(24*ATAN(AD16/(AA16+AF16))/PI()&gt;0,24*ATAN(AD16/(AA16+AF16))/PI(),24*ATAN(AD16/(AA16+AF16))/PI()+24)</f>
        <v>18.4601290357853</v>
      </c>
      <c r="AI16" s="10" t="n">
        <f aca="false">IF(N16-15*AH16&gt;0,N16-15*AH16,360+N16-15*AH16)</f>
        <v>4.53472862635618</v>
      </c>
      <c r="AJ16" s="18" t="n">
        <f aca="false">0.950724+0.051818*COS(Q16)+0.009531*COS(2*S16-Q16)+0.007843*COS(2*S16)+0.002824*COS(2*Q16)+0.000857*COS(2*S16+Q16)+0.000533*COS(2*S16-R16)+0.000401*COS(2*S16-R16-Q16)+0.00032*COS(Q16-R16)-0.000271*COS(S16)</f>
        <v>0.985994648806009</v>
      </c>
      <c r="AK16" s="50" t="n">
        <f aca="false">ASIN(COS($A$4*$G$2)*COS($A$4*AG16)*COS($A$4*AI16)+SIN($A$4*$G$2)*SIN($A$4*AG16))/$A$4</f>
        <v>83.9751591096188</v>
      </c>
      <c r="AL16" s="18" t="n">
        <f aca="false">ASIN((0.9983271+0.0016764*COS($A$4*2*$G$2))*COS($A$4*AK16)*SIN($A$4*AJ16))/$A$4</f>
        <v>0.103431976517043</v>
      </c>
      <c r="AM16" s="18" t="n">
        <f aca="false">AK16-AL16</f>
        <v>83.8717271331018</v>
      </c>
      <c r="AN16" s="10" t="n">
        <f aca="false"> IF(280.4664567 + 360007.6982779*M16/10 + 0.03032028*M16^2/100 + M16^3/49931000&lt;0,MOD(280.4664567 + 360007.6982779*M16/10 + 0.03032028*M16^2/100 + M16^3/49931000+360,360),MOD(280.4664567 + 360007.6982779*M16/10 + 0.03032028*M16^2/100 + M16^3/49931000,360))</f>
        <v>191.442446698255</v>
      </c>
      <c r="AO16" s="27" t="n">
        <f aca="false"> AN16 + (1.9146 - 0.004817*M16 - 0.000014*M16^2)*SIN(R16)+ (0.019993 - 0.000101*M16)*SIN(2*R16)+ 0.00029*SIN(3*R16)</f>
        <v>189.531589541032</v>
      </c>
      <c r="AP16" s="18" t="n">
        <f aca="false">ACOS(COS(X16-$A$4*AO16)*COS(Y16))/$A$4</f>
        <v>86.6168974817325</v>
      </c>
      <c r="AQ16" s="25" t="n">
        <f aca="false">180 - AP16 -0.1468*(1-0.0549*SIN(R16))*SIN($A$4*AP16)/(1-0.0167*SIN($A$4*AO16))</f>
        <v>93.2289437592512</v>
      </c>
      <c r="AR16" s="25" t="n">
        <f aca="false">SIN($A$4*AI16)</f>
        <v>0.0790633416597901</v>
      </c>
      <c r="AS16" s="25" t="n">
        <f aca="false">COS($A$4*AI16)*SIN($A$4*$G$2) - TAN($A$4*AG16)*COS($A$4*$G$2)</f>
        <v>0.0879145448124218</v>
      </c>
      <c r="AT16" s="25" t="n">
        <f aca="false">IF(OR(AND(AR16*AS16&gt;0), AND(AR16&lt;0,AS16&gt;0)), MOD(ATAN2(AS16,AR16)/$A$4+360,360),  ATAN2(AS16,AR16)/$A$4)</f>
        <v>41.9656916990965</v>
      </c>
      <c r="AU16" s="29" t="n">
        <f aca="false">(1+SIN($A$4*H16)*SIN($A$4*AJ16))*120*ASIN(0.272481*SIN($A$4*AJ16))/$A$4</f>
        <v>32.7898904573128</v>
      </c>
      <c r="AV16" s="10" t="n">
        <f aca="false">COS(X16)</f>
        <v>0.106952899887428</v>
      </c>
      <c r="AW16" s="10" t="n">
        <f aca="false">SIN(X16)</f>
        <v>-0.994264088261097</v>
      </c>
      <c r="AX16" s="30" t="n">
        <f aca="false"> 385000.56 + (-20905355*COS(Q16) - 3699111*COS(2*S16-Q16) - 2955968*COS(2*S16) - 569925*COS(2*Q16) + (1-0.002516*M16)*48888*COS(R16) - 3149*COS(2*T16)  +246158*COS(2*S16-2*Q16) -(1-0.002516*M16)*152138*COS(2*S16-R16-Q16) -170733*COS(2*S16+Q16) -(1-0.002516*M16)*204586*COS(2*S16-R16) -(1-0.002516*M16)*129620*COS(R16-Q16)  + 108743*COS(S16) +(1-0.002516*M16)*104755*COS(R16+Q16) +10321*COS(2*S16-2*T16) +79661*COS(Q16-2*T16) -34782*COS(4*S16-Q16) -23210*COS(3*Q16)  -21636*COS(4*S16-2*Q16) +(1-0.002516*M16)*24208*COS(2*S16+R16-Q16) +(1-0.002516*M16)*30824*COS(2*S16+R16) -8379*COS(S16-Q16) -(1-0.002516*M16)*16675*COS(S16+R16)  -(1-0.002516*M16)*12831*COS(2*S16-R16+Q16) -10445*COS(2*S16+2*Q16) -11650*COS(4*S16) +14403*COS(2*S16-3*Q16) -(1-0.002516*M16)*7003*COS(R16-2*Q16)  + (1-0.002516*M16)*10056*COS(2*S16-R16-2*Q16) +6322*COS(S16+Q16) -(1-0.002516*M16)*(1-0.002516*M16)*9884*COS(2*S16-2*R16) +(1-0.002516*M16)*5751*COS(R16+2*Q16) -(1-0.002516*M16)*(1-0.002516*M16)*4950*COS(2*S16-2*R16-Q16)  +4130*COS(2*S16+Q16-2*T16) -(1-0.002516*M16)*3958*COS(4*S16-R16-Q16) +3258*COS(3*S16-Q16) +(1-0.002516*M16)*2616*COS(2*S16+R16+Q16) -(1-0.002516*M16)*1897*COS(4*S16-R16-2*Q16)  -(1-0.002516*M16)*(1-0.002516*M16)*2117*COS(2*R16-Q16) +(1-0.002516*M16)*(1-0.002516*M16)*2354*COS(2*S16+2*R16-Q16) -1423*COS(4*S16+Q16) -1117*COS(4*Q16) -(1-0.002516*M16)*1571*COS(4*S16-R16)  -1739*COS(S16-2*Q16) -4421*COS(2*Q16-2*T16) +(1-0.002516*M16)*(1-0.002516*M16)*1165*COS(2*R16+Q16) +8752*COS(2*S16-Q16-2*T16))/1000</f>
        <v>370379.323965625</v>
      </c>
      <c r="AY16" s="10" t="n">
        <f aca="false">AY15+1/8</f>
        <v>2.75</v>
      </c>
      <c r="AZ16" s="17" t="n">
        <f aca="false">AZ15+1</f>
        <v>15</v>
      </c>
      <c r="BA16" s="32" t="n">
        <f aca="false">ATAN(0.99664719*TAN($A$4*input!$E$2))</f>
        <v>-0.400219206115995</v>
      </c>
      <c r="BB16" s="32" t="n">
        <f aca="false">COS(BA16)</f>
        <v>0.920975608992155</v>
      </c>
      <c r="BC16" s="32" t="n">
        <f aca="false">0.99664719*SIN(BA16)</f>
        <v>-0.388313912533463</v>
      </c>
      <c r="BD16" s="32" t="n">
        <f aca="false">6378.14/AX16</f>
        <v>0.0172205616979634</v>
      </c>
      <c r="BE16" s="33" t="n">
        <f aca="false">MOD(N16-15*AH16,360)</f>
        <v>4.53472862635618</v>
      </c>
      <c r="BF16" s="27" t="n">
        <f aca="false">COS($A$4*AG16)*SIN($A$4*BE16)</f>
        <v>0.0701849847851048</v>
      </c>
      <c r="BG16" s="27" t="n">
        <f aca="false">COS($A$4*AG16)*COS($A$4*BE16)-BB16*BD16</f>
        <v>0.8690671759848</v>
      </c>
      <c r="BH16" s="27" t="n">
        <f aca="false">SIN($A$4*AG16)-BC16*BD16</f>
        <v>-0.453724203683144</v>
      </c>
      <c r="BI16" s="46" t="n">
        <f aca="false">SQRT(BF16^2+BG16^2+BH16^2)</f>
        <v>0.982888264998308</v>
      </c>
      <c r="BJ16" s="35" t="n">
        <f aca="false">AX16*BI16</f>
        <v>364041.491123819</v>
      </c>
    </row>
    <row r="17" customFormat="false" ht="15" hidden="false" customHeight="false" outlineLevel="0" collapsed="false">
      <c r="A17" s="103"/>
      <c r="B17" s="20"/>
      <c r="C17" s="15" t="n">
        <f aca="false">MOD(C16+3,24)</f>
        <v>21</v>
      </c>
      <c r="D17" s="17" t="n">
        <v>2</v>
      </c>
      <c r="E17" s="102" t="n">
        <f aca="false">input!$C$2</f>
        <v>10</v>
      </c>
      <c r="F17" s="102" t="n">
        <f aca="false">input!$D$2</f>
        <v>2022</v>
      </c>
      <c r="G17" s="0"/>
      <c r="H17" s="39" t="n">
        <f aca="false">AM17</f>
        <v>46.2256015557299</v>
      </c>
      <c r="I17" s="48" t="n">
        <f aca="false">H17+1.02/(TAN($A$4*(H17+10.3/(H17+5.11)))*60)</f>
        <v>46.2417755963511</v>
      </c>
      <c r="J17" s="39" t="n">
        <f aca="false">100*(1+COS($A$4*AQ17))/2</f>
        <v>48.6132203854686</v>
      </c>
      <c r="K17" s="48" t="n">
        <f aca="false">IF(AI17&gt;180,AT17-180,AT17+180)</f>
        <v>253.835241591378</v>
      </c>
      <c r="L17" s="10" t="n">
        <f aca="false">L16+1/8</f>
        <v>2459855.375</v>
      </c>
      <c r="M17" s="49" t="n">
        <f aca="false">(L17-2451545)/36525</f>
        <v>0.227525667351129</v>
      </c>
      <c r="N17" s="15" t="n">
        <f aca="false">MOD(280.46061837+360.98564736629*(L17-2451545)+0.000387933*M17^2-M17^3/38710000+$G$4,360)</f>
        <v>326.559870084282</v>
      </c>
      <c r="O17" s="18" t="n">
        <f aca="false">0.60643382+1336.85522467*M17 - 0.00000313*M17^2 - INT(0.60643382+1336.85522467*M17 - 0.00000313*M17^2)</f>
        <v>0.775310802852118</v>
      </c>
      <c r="P17" s="15" t="n">
        <f aca="false">22640*SIN(Q17)-4586*SIN(Q17-2*S17)+2370*SIN(2*S17)+769*SIN(2*Q17)-668*SIN(R17)-412*SIN(2*T17)-212*SIN(2*Q17-2*S17)-206*SIN(Q17+R17-2*S17)+192*SIN(Q17+2*S17)-165*SIN(R17-2*S17)-125*SIN(S17)-110*SIN(Q17+R17)+148*SIN(Q17-R17)-55*SIN(2*T17-2*S17)</f>
        <v>-4340.66356550998</v>
      </c>
      <c r="Q17" s="18" t="n">
        <f aca="false">2*PI()*(0.374897+1325.55241*M17 - INT(0.374897+1325.55241*M17))</f>
        <v>6.10784481627148</v>
      </c>
      <c r="R17" s="26" t="n">
        <f aca="false">2*PI()*(0.99312619+99.99735956*M17 - 0.00000044*M17^2 - INT(0.99312619+99.99735956*M17- 0.00000044*M17^2))</f>
        <v>4.68155195174639</v>
      </c>
      <c r="S17" s="26" t="n">
        <f aca="false">2*PI()*(0.827361+1236.853086*M17 - INT(0.827361+1236.853086*M17))</f>
        <v>1.52797520912311</v>
      </c>
      <c r="T17" s="26" t="n">
        <f aca="false">2*PI()*(0.259086+1342.227825*M17 - INT(0.259086+1342.227825*M17))</f>
        <v>4.08638027663622</v>
      </c>
      <c r="U17" s="26" t="n">
        <f aca="false">T17+(P17+412*SIN(2*T17)+541*SIN(R17))/206264.8062</f>
        <v>4.06461135013016</v>
      </c>
      <c r="V17" s="26" t="n">
        <f aca="false">T17-2*S17</f>
        <v>1.03042985839001</v>
      </c>
      <c r="W17" s="25" t="n">
        <f aca="false">-526*SIN(V17)+44*SIN(Q17+V17)-31*SIN(-Q17+V17)-23*SIN(R17+V17)+11*SIN(-R17+V17)-25*SIN(-2*Q17+T17)+21*SIN(-Q17+T17)</f>
        <v>-423.854092094244</v>
      </c>
      <c r="X17" s="26" t="n">
        <f aca="false">2*PI()*(O17+P17/1296000-INT(O17+P17/1296000))</f>
        <v>4.85037731416151</v>
      </c>
      <c r="Y17" s="26" t="n">
        <f aca="false">(18520*SIN(U17)+W17)/206264.8062</f>
        <v>-0.0736538546169944</v>
      </c>
      <c r="Z17" s="26" t="n">
        <f aca="false">Y17*180/PI()</f>
        <v>-4.22005501442393</v>
      </c>
      <c r="AA17" s="26" t="n">
        <f aca="false">COS(Y17)*COS(X17)</f>
        <v>0.137177919066238</v>
      </c>
      <c r="AB17" s="26" t="n">
        <f aca="false">COS(Y17)*SIN(X17)</f>
        <v>-0.987809258379082</v>
      </c>
      <c r="AC17" s="26" t="n">
        <f aca="false">SIN(Y17)</f>
        <v>-0.0735872786643449</v>
      </c>
      <c r="AD17" s="26" t="n">
        <f aca="false">COS($A$4*(23.4393-46.815*M17/3600))*AB17-SIN($A$4*(23.4393-46.815*M17/3600))*AC17</f>
        <v>-0.877049641790012</v>
      </c>
      <c r="AE17" s="26" t="n">
        <f aca="false">SIN($A$4*(23.4393-46.815*M17/3600))*AB17+COS($A$4*(23.4393-46.815*M17/3600))*AC17</f>
        <v>-0.46039781098162</v>
      </c>
      <c r="AF17" s="26" t="n">
        <f aca="false">SQRT(1-AE17*AE17)</f>
        <v>0.887712710083241</v>
      </c>
      <c r="AG17" s="10" t="n">
        <f aca="false">ATAN(AE17/AF17)/$A$4</f>
        <v>-27.4127804965167</v>
      </c>
      <c r="AH17" s="26" t="n">
        <f aca="false">IF(24*ATAN(AD17/(AA17+AF17))/PI()&gt;0,24*ATAN(AD17/(AA17+AF17))/PI(),24*ATAN(AD17/(AA17+AF17))/PI()+24)</f>
        <v>18.5926345014439</v>
      </c>
      <c r="AI17" s="10" t="n">
        <f aca="false">IF(N17-15*AH17&gt;0,N17-15*AH17,360+N17-15*AH17)</f>
        <v>47.6703525626235</v>
      </c>
      <c r="AJ17" s="18" t="n">
        <f aca="false">0.950724+0.051818*COS(Q17)+0.009531*COS(2*S17-Q17)+0.007843*COS(2*S17)+0.002824*COS(2*Q17)+0.000857*COS(2*S17+Q17)+0.000533*COS(2*S17-R17)+0.000401*COS(2*S17-R17-Q17)+0.00032*COS(Q17-R17)-0.000271*COS(S17)</f>
        <v>0.986318196138913</v>
      </c>
      <c r="AK17" s="50" t="n">
        <f aca="false">ASIN(COS($A$4*$G$2)*COS($A$4*AG17)*COS($A$4*AI17)+SIN($A$4*$G$2)*SIN($A$4*AG17))/$A$4</f>
        <v>46.8991768927669</v>
      </c>
      <c r="AL17" s="18" t="n">
        <f aca="false">ASIN((0.9983271+0.0016764*COS($A$4*2*$G$2))*COS($A$4*AK17)*SIN($A$4*AJ17))/$A$4</f>
        <v>0.673575337037071</v>
      </c>
      <c r="AM17" s="18" t="n">
        <f aca="false">AK17-AL17</f>
        <v>46.2256015557299</v>
      </c>
      <c r="AN17" s="10" t="n">
        <f aca="false"> IF(280.4664567 + 360007.6982779*M17/10 + 0.03032028*M17^2/100 + M17^3/49931000&lt;0,MOD(280.4664567 + 360007.6982779*M17/10 + 0.03032028*M17^2/100 + M17^3/49931000+360,360),MOD(280.4664567 + 360007.6982779*M17/10 + 0.03032028*M17^2/100 + M17^3/49931000,360))</f>
        <v>191.565652618739</v>
      </c>
      <c r="AO17" s="27" t="n">
        <f aca="false"> AN17 + (1.9146 - 0.004817*M17 - 0.000014*M17^2)*SIN(R17)+ (0.019993 - 0.000101*M17)*SIN(2*R17)+ 0.00029*SIN(3*R17)</f>
        <v>189.654578670483</v>
      </c>
      <c r="AP17" s="18" t="n">
        <f aca="false">ACOS(COS(X17-$A$4*AO17)*COS(Y17))/$A$4</f>
        <v>88.2563123185721</v>
      </c>
      <c r="AQ17" s="25" t="n">
        <f aca="false">180 - AP17 -0.1468*(1-0.0549*SIN(R17))*SIN($A$4*AP17)/(1-0.0167*SIN($A$4*AO17))</f>
        <v>91.5893361945886</v>
      </c>
      <c r="AR17" s="25" t="n">
        <f aca="false">SIN($A$4*AI17)</f>
        <v>0.739282748748898</v>
      </c>
      <c r="AS17" s="25" t="n">
        <f aca="false">COS($A$4*AI17)*SIN($A$4*$G$2) - TAN($A$4*AG17)*COS($A$4*$G$2)</f>
        <v>0.214288480925365</v>
      </c>
      <c r="AT17" s="25" t="n">
        <f aca="false">IF(OR(AND(AR17*AS17&gt;0), AND(AR17&lt;0,AS17&gt;0)), MOD(ATAN2(AS17,AR17)/$A$4+360,360),  ATAN2(AS17,AR17)/$A$4)</f>
        <v>73.8352415913778</v>
      </c>
      <c r="AU17" s="29" t="n">
        <f aca="false">(1+SIN($A$4*H17)*SIN($A$4*AJ17))*120*ASIN(0.272481*SIN($A$4*AJ17))/$A$4</f>
        <v>32.649717507288</v>
      </c>
      <c r="AV17" s="10" t="n">
        <f aca="false">COS(X17)</f>
        <v>0.137550849563017</v>
      </c>
      <c r="AW17" s="10" t="n">
        <f aca="false">SIN(X17)</f>
        <v>-0.990494706590849</v>
      </c>
      <c r="AX17" s="30" t="n">
        <f aca="false"> 385000.56 + (-20905355*COS(Q17) - 3699111*COS(2*S17-Q17) - 2955968*COS(2*S17) - 569925*COS(2*Q17) + (1-0.002516*M17)*48888*COS(R17) - 3149*COS(2*T17)  +246158*COS(2*S17-2*Q17) -(1-0.002516*M17)*152138*COS(2*S17-R17-Q17) -170733*COS(2*S17+Q17) -(1-0.002516*M17)*204586*COS(2*S17-R17) -(1-0.002516*M17)*129620*COS(R17-Q17)  + 108743*COS(S17) +(1-0.002516*M17)*104755*COS(R17+Q17) +10321*COS(2*S17-2*T17) +79661*COS(Q17-2*T17) -34782*COS(4*S17-Q17) -23210*COS(3*Q17)  -21636*COS(4*S17-2*Q17) +(1-0.002516*M17)*24208*COS(2*S17+R17-Q17) +(1-0.002516*M17)*30824*COS(2*S17+R17) -8379*COS(S17-Q17) -(1-0.002516*M17)*16675*COS(S17+R17)  -(1-0.002516*M17)*12831*COS(2*S17-R17+Q17) -10445*COS(2*S17+2*Q17) -11650*COS(4*S17) +14403*COS(2*S17-3*Q17) -(1-0.002516*M17)*7003*COS(R17-2*Q17)  + (1-0.002516*M17)*10056*COS(2*S17-R17-2*Q17) +6322*COS(S17+Q17) -(1-0.002516*M17)*(1-0.002516*M17)*9884*COS(2*S17-2*R17) +(1-0.002516*M17)*5751*COS(R17+2*Q17) -(1-0.002516*M17)*(1-0.002516*M17)*4950*COS(2*S17-2*R17-Q17)  +4130*COS(2*S17+Q17-2*T17) -(1-0.002516*M17)*3958*COS(4*S17-R17-Q17) +3258*COS(3*S17-Q17) +(1-0.002516*M17)*2616*COS(2*S17+R17+Q17) -(1-0.002516*M17)*1897*COS(4*S17-R17-2*Q17)  -(1-0.002516*M17)*(1-0.002516*M17)*2117*COS(2*R17-Q17) +(1-0.002516*M17)*(1-0.002516*M17)*2354*COS(2*S17+2*R17-Q17) -1423*COS(4*S17+Q17) -1117*COS(4*Q17) -(1-0.002516*M17)*1571*COS(4*S17-R17)  -1739*COS(S17-2*Q17) -4421*COS(2*Q17-2*T17) +(1-0.002516*M17)*(1-0.002516*M17)*1165*COS(2*R17+Q17) +8752*COS(2*S17-Q17-2*T17))/1000</f>
        <v>370253.965337428</v>
      </c>
      <c r="AY17" s="10" t="n">
        <f aca="false">AY16+1/8</f>
        <v>2.875</v>
      </c>
      <c r="AZ17" s="17" t="n">
        <f aca="false">AZ16+1</f>
        <v>16</v>
      </c>
      <c r="BA17" s="32" t="n">
        <f aca="false">ATAN(0.99664719*TAN($A$4*input!$E$2))</f>
        <v>-0.400219206115995</v>
      </c>
      <c r="BB17" s="32" t="n">
        <f aca="false">COS(BA17)</f>
        <v>0.920975608992155</v>
      </c>
      <c r="BC17" s="32" t="n">
        <f aca="false">0.99664719*SIN(BA17)</f>
        <v>-0.388313912533463</v>
      </c>
      <c r="BD17" s="32" t="n">
        <f aca="false">6378.14/AX17</f>
        <v>0.0172263921446117</v>
      </c>
      <c r="BE17" s="33" t="n">
        <f aca="false">MOD(N17-15*AH17,360)</f>
        <v>47.6703525626235</v>
      </c>
      <c r="BF17" s="27" t="n">
        <f aca="false">COS($A$4*AG17)*SIN($A$4*BE17)</f>
        <v>0.656270692409672</v>
      </c>
      <c r="BG17" s="27" t="n">
        <f aca="false">COS($A$4*AG17)*COS($A$4*BE17)-BB17*BD17</f>
        <v>0.5819163395533</v>
      </c>
      <c r="BH17" s="27" t="n">
        <f aca="false">SIN($A$4*AG17)-BC17*BD17</f>
        <v>-0.45370856324911</v>
      </c>
      <c r="BI17" s="46" t="n">
        <f aca="false">SQRT(BF17^2+BG17^2+BH17^2)</f>
        <v>0.987506611785741</v>
      </c>
      <c r="BJ17" s="35" t="n">
        <f aca="false">AX17*BI17</f>
        <v>365628.238810599</v>
      </c>
    </row>
    <row r="18" customFormat="false" ht="15" hidden="false" customHeight="false" outlineLevel="0" collapsed="false">
      <c r="A18" s="20"/>
      <c r="B18" s="20"/>
      <c r="C18" s="15" t="n">
        <f aca="false">MOD(C17+3,24)</f>
        <v>0</v>
      </c>
      <c r="D18" s="36" t="n">
        <v>3</v>
      </c>
      <c r="E18" s="102" t="n">
        <f aca="false">input!$C$2</f>
        <v>10</v>
      </c>
      <c r="F18" s="102" t="n">
        <f aca="false">input!$D$2</f>
        <v>2022</v>
      </c>
      <c r="G18" s="0"/>
      <c r="H18" s="39" t="n">
        <f aca="false">AM18</f>
        <v>8.71266603982883</v>
      </c>
      <c r="I18" s="48" t="n">
        <f aca="false">H18+1.02/(TAN($A$4*(H18+10.3/(H18+5.11)))*60)</f>
        <v>8.81471550032666</v>
      </c>
      <c r="J18" s="39" t="n">
        <f aca="false">100*(1+COS($A$4*AQ18))/2</f>
        <v>50.044649759793</v>
      </c>
      <c r="K18" s="48" t="n">
        <f aca="false">IF(AI18&gt;180,AT18-180,AT18+180)</f>
        <v>244.249552392277</v>
      </c>
      <c r="L18" s="10" t="n">
        <f aca="false">L17+1/8</f>
        <v>2459855.5</v>
      </c>
      <c r="M18" s="49" t="n">
        <f aca="false">(L18-2451545)/36525</f>
        <v>0.227529089664613</v>
      </c>
      <c r="N18" s="15" t="n">
        <f aca="false">MOD(280.46061837+360.98564736629*(L18-2451545)+0.000387933*M18^2-M18^3/38710000+$G$4,360)</f>
        <v>11.6830760058947</v>
      </c>
      <c r="O18" s="18" t="n">
        <f aca="false">0.60643382+1336.85522467*M18 - 0.00000313*M18^2 - INT(0.60643382+1336.85522467*M18 - 0.00000313*M18^2)</f>
        <v>0.779885940508677</v>
      </c>
      <c r="P18" s="15" t="n">
        <f aca="false">22640*SIN(Q18)-4586*SIN(Q18-2*S18)+2370*SIN(2*S18)+769*SIN(2*Q18)-668*SIN(R18)-412*SIN(2*T18)-212*SIN(2*Q18-2*S18)-206*SIN(Q18+R18-2*S18)+192*SIN(Q18+2*S18)-165*SIN(R18-2*S18)-125*SIN(S18)-110*SIN(Q18+R18)+148*SIN(Q18-R18)-55*SIN(2*T18-2*S18)</f>
        <v>-3905.6688332089</v>
      </c>
      <c r="Q18" s="18" t="n">
        <f aca="false">2*PI()*(0.374897+1325.55241*M18 - INT(0.374897+1325.55241*M18))</f>
        <v>6.13634820924328</v>
      </c>
      <c r="R18" s="26" t="n">
        <f aca="false">2*PI()*(0.99312619+99.99735956*M18 - 0.00000044*M18^2 - INT(0.99312619+99.99735956*M18- 0.00000044*M18^2))</f>
        <v>4.6837021979445</v>
      </c>
      <c r="S18" s="26" t="n">
        <f aca="false">2*PI()*(0.827361+1236.853086*M18 - INT(0.827361+1236.853086*M18))</f>
        <v>1.55457129788803</v>
      </c>
      <c r="T18" s="26" t="n">
        <f aca="false">2*PI()*(0.259086+1342.227825*M18 - INT(0.259086+1342.227825*M18))</f>
        <v>4.11524224155398</v>
      </c>
      <c r="U18" s="26" t="n">
        <f aca="false">T18+(P18+412*SIN(2*T18)+541*SIN(R18))/206264.8062</f>
        <v>4.09554278627923</v>
      </c>
      <c r="V18" s="26" t="n">
        <f aca="false">T18-2*S18</f>
        <v>1.00609964577792</v>
      </c>
      <c r="W18" s="25" t="n">
        <f aca="false">-526*SIN(V18)+44*SIN(Q18+V18)-31*SIN(-Q18+V18)-23*SIN(R18+V18)+11*SIN(-R18+V18)-25*SIN(-2*Q18+T18)+21*SIN(-Q18+T18)</f>
        <v>-415.918109536262</v>
      </c>
      <c r="X18" s="26" t="n">
        <f aca="false">2*PI()*(O18+P18/1296000-INT(O18+P18/1296000))</f>
        <v>4.88123266583783</v>
      </c>
      <c r="Y18" s="26" t="n">
        <f aca="false">(18520*SIN(U18)+W18)/206264.8062</f>
        <v>-0.0752567041289381</v>
      </c>
      <c r="Z18" s="26" t="n">
        <f aca="false">Y18*180/PI()</f>
        <v>-4.31189152665291</v>
      </c>
      <c r="AA18" s="26" t="n">
        <f aca="false">COS(Y18)*COS(X18)</f>
        <v>0.167566954147158</v>
      </c>
      <c r="AB18" s="26" t="n">
        <f aca="false">COS(Y18)*SIN(X18)</f>
        <v>-0.982989536213315</v>
      </c>
      <c r="AC18" s="26" t="n">
        <f aca="false">SIN(Y18)</f>
        <v>-0.0751856872880494</v>
      </c>
      <c r="AD18" s="26" t="n">
        <f aca="false">COS($A$4*(23.4393-46.815*M18/3600))*AB18-SIN($A$4*(23.4393-46.815*M18/3600))*AC18</f>
        <v>-0.871991799883778</v>
      </c>
      <c r="AE18" s="26" t="n">
        <f aca="false">SIN($A$4*(23.4393-46.815*M18/3600))*AB18+COS($A$4*(23.4393-46.815*M18/3600))*AC18</f>
        <v>-0.45994740657307</v>
      </c>
      <c r="AF18" s="26" t="n">
        <f aca="false">SQRT(1-AE18*AE18)</f>
        <v>0.887946160072055</v>
      </c>
      <c r="AG18" s="10" t="n">
        <f aca="false">ATAN(AE18/AF18)/$A$4</f>
        <v>-27.3837137973164</v>
      </c>
      <c r="AH18" s="26" t="n">
        <f aca="false">IF(24*ATAN(AD18/(AA18+AF18))/PI()&gt;0,24*ATAN(AD18/(AA18+AF18))/PI(),24*ATAN(AD18/(AA18+AF18))/PI()+24)</f>
        <v>18.7251789289442</v>
      </c>
      <c r="AI18" s="10" t="n">
        <f aca="false">IF(N18-15*AH18&gt;0,N18-15*AH18,360+N18-15*AH18)</f>
        <v>90.8053920717323</v>
      </c>
      <c r="AJ18" s="18" t="n">
        <f aca="false">0.950724+0.051818*COS(Q18)+0.009531*COS(2*S18-Q18)+0.007843*COS(2*S18)+0.002824*COS(2*Q18)+0.000857*COS(2*S18+Q18)+0.000533*COS(2*S18-R18)+0.000401*COS(2*S18-R18-Q18)+0.00032*COS(Q18-R18)-0.000271*COS(S18)</f>
        <v>0.986625117200445</v>
      </c>
      <c r="AK18" s="50" t="n">
        <f aca="false">ASIN(COS($A$4*$G$2)*COS($A$4*AG18)*COS($A$4*AI18)+SIN($A$4*$G$2)*SIN($A$4*AG18))/$A$4</f>
        <v>9.68473426333645</v>
      </c>
      <c r="AL18" s="18" t="n">
        <f aca="false">ASIN((0.9983271+0.0016764*COS($A$4*2*$G$2))*COS($A$4*AK18)*SIN($A$4*AJ18))/$A$4</f>
        <v>0.972068223507612</v>
      </c>
      <c r="AM18" s="18" t="n">
        <f aca="false">AK18-AL18</f>
        <v>8.71266603982883</v>
      </c>
      <c r="AN18" s="10" t="n">
        <f aca="false"> IF(280.4664567 + 360007.6982779*M18/10 + 0.03032028*M18^2/100 + M18^3/49931000&lt;0,MOD(280.4664567 + 360007.6982779*M18/10 + 0.03032028*M18^2/100 + M18^3/49931000+360,360),MOD(280.4664567 + 360007.6982779*M18/10 + 0.03032028*M18^2/100 + M18^3/49931000,360))</f>
        <v>191.688858539224</v>
      </c>
      <c r="AO18" s="27" t="n">
        <f aca="false"> AN18 + (1.9146 - 0.004817*M18 - 0.000014*M18^2)*SIN(R18)+ (0.019993 - 0.000101*M18)*SIN(2*R18)+ 0.00029*SIN(3*R18)</f>
        <v>189.777576608144</v>
      </c>
      <c r="AP18" s="18" t="n">
        <f aca="false">ACOS(COS(X18-$A$4*AO18)*COS(Y18))/$A$4</f>
        <v>89.8967470478941</v>
      </c>
      <c r="AQ18" s="25" t="n">
        <f aca="false">180 - AP18 -0.1468*(1-0.0549*SIN(R18))*SIN($A$4*AP18)/(1-0.0167*SIN($A$4*AO18))</f>
        <v>89.9488351373516</v>
      </c>
      <c r="AR18" s="25" t="n">
        <f aca="false">SIN($A$4*AI18)</f>
        <v>0.99990120560896</v>
      </c>
      <c r="AS18" s="25" t="n">
        <f aca="false">COS($A$4*AI18)*SIN($A$4*$G$2) - TAN($A$4*AG18)*COS($A$4*$G$2)</f>
        <v>0.482304716923922</v>
      </c>
      <c r="AT18" s="25" t="n">
        <f aca="false">IF(OR(AND(AR18*AS18&gt;0), AND(AR18&lt;0,AS18&gt;0)), MOD(ATAN2(AS18,AR18)/$A$4+360,360),  ATAN2(AS18,AR18)/$A$4)</f>
        <v>64.2495523922775</v>
      </c>
      <c r="AU18" s="29" t="n">
        <f aca="false">(1+SIN($A$4*H18)*SIN($A$4*AJ18))*120*ASIN(0.272481*SIN($A$4*AJ18))/$A$4</f>
        <v>32.3430575704348</v>
      </c>
      <c r="AV18" s="10" t="n">
        <f aca="false">COS(X18)</f>
        <v>0.16804259021407</v>
      </c>
      <c r="AW18" s="10" t="n">
        <f aca="false">SIN(X18)</f>
        <v>-0.985779735982713</v>
      </c>
      <c r="AX18" s="30" t="n">
        <f aca="false"> 385000.56 + (-20905355*COS(Q18) - 3699111*COS(2*S18-Q18) - 2955968*COS(2*S18) - 569925*COS(2*Q18) + (1-0.002516*M18)*48888*COS(R18) - 3149*COS(2*T18)  +246158*COS(2*S18-2*Q18) -(1-0.002516*M18)*152138*COS(2*S18-R18-Q18) -170733*COS(2*S18+Q18) -(1-0.002516*M18)*204586*COS(2*S18-R18) -(1-0.002516*M18)*129620*COS(R18-Q18)  + 108743*COS(S18) +(1-0.002516*M18)*104755*COS(R18+Q18) +10321*COS(2*S18-2*T18) +79661*COS(Q18-2*T18) -34782*COS(4*S18-Q18) -23210*COS(3*Q18)  -21636*COS(4*S18-2*Q18) +(1-0.002516*M18)*24208*COS(2*S18+R18-Q18) +(1-0.002516*M18)*30824*COS(2*S18+R18) -8379*COS(S18-Q18) -(1-0.002516*M18)*16675*COS(S18+R18)  -(1-0.002516*M18)*12831*COS(2*S18-R18+Q18) -10445*COS(2*S18+2*Q18) -11650*COS(4*S18) +14403*COS(2*S18-3*Q18) -(1-0.002516*M18)*7003*COS(R18-2*Q18)  + (1-0.002516*M18)*10056*COS(2*S18-R18-2*Q18) +6322*COS(S18+Q18) -(1-0.002516*M18)*(1-0.002516*M18)*9884*COS(2*S18-2*R18) +(1-0.002516*M18)*5751*COS(R18+2*Q18) -(1-0.002516*M18)*(1-0.002516*M18)*4950*COS(2*S18-2*R18-Q18)  +4130*COS(2*S18+Q18-2*T18) -(1-0.002516*M18)*3958*COS(4*S18-R18-Q18) +3258*COS(3*S18-Q18) +(1-0.002516*M18)*2616*COS(2*S18+R18+Q18) -(1-0.002516*M18)*1897*COS(4*S18-R18-2*Q18)  -(1-0.002516*M18)*(1-0.002516*M18)*2117*COS(2*R18-Q18) +(1-0.002516*M18)*(1-0.002516*M18)*2354*COS(2*S18+2*R18-Q18) -1423*COS(4*S18+Q18) -1117*COS(4*Q18) -(1-0.002516*M18)*1571*COS(4*S18-R18)  -1739*COS(S18-2*Q18) -4421*COS(2*Q18-2*T18) +(1-0.002516*M18)*(1-0.002516*M18)*1165*COS(2*R18+Q18) +8752*COS(2*S18-Q18-2*T18))/1000</f>
        <v>370135.917120449</v>
      </c>
      <c r="AY18" s="10" t="n">
        <f aca="false">AY17+1/8</f>
        <v>3</v>
      </c>
      <c r="AZ18" s="17" t="n">
        <f aca="false">AZ17+1</f>
        <v>17</v>
      </c>
      <c r="BA18" s="32" t="n">
        <f aca="false">ATAN(0.99664719*TAN($A$4*input!$E$2))</f>
        <v>-0.400219206115995</v>
      </c>
      <c r="BB18" s="32" t="n">
        <f aca="false">COS(BA18)</f>
        <v>0.920975608992155</v>
      </c>
      <c r="BC18" s="32" t="n">
        <f aca="false">0.99664719*SIN(BA18)</f>
        <v>-0.388313912533463</v>
      </c>
      <c r="BD18" s="32" t="n">
        <f aca="false">6378.14/AX18</f>
        <v>0.017231886193645</v>
      </c>
      <c r="BE18" s="33" t="n">
        <f aca="false">MOD(N18-15*AH18,360)</f>
        <v>90.8053920717323</v>
      </c>
      <c r="BF18" s="27" t="n">
        <f aca="false">COS($A$4*AG18)*SIN($A$4*BE18)</f>
        <v>0.887858435971894</v>
      </c>
      <c r="BG18" s="27" t="n">
        <f aca="false">COS($A$4*AG18)*COS($A$4*BE18)-BB18*BD18</f>
        <v>-0.0283513671841411</v>
      </c>
      <c r="BH18" s="27" t="n">
        <f aca="false">SIN($A$4*AG18)-BC18*BD18</f>
        <v>-0.453256025424884</v>
      </c>
      <c r="BI18" s="46" t="n">
        <f aca="false">SQRT(BF18^2+BG18^2+BH18^2)</f>
        <v>0.997264973280237</v>
      </c>
      <c r="BJ18" s="35" t="n">
        <f aca="false">AX18*BI18</f>
        <v>369123.585497181</v>
      </c>
    </row>
    <row r="19" customFormat="false" ht="15" hidden="false" customHeight="false" outlineLevel="0" collapsed="false">
      <c r="A19" s="13" t="s">
        <v>116</v>
      </c>
      <c r="B19" s="20"/>
      <c r="C19" s="15" t="n">
        <f aca="false">MOD(C18+3,24)</f>
        <v>3</v>
      </c>
      <c r="D19" s="17" t="n">
        <v>3</v>
      </c>
      <c r="E19" s="102" t="n">
        <f aca="false">input!$C$2</f>
        <v>10</v>
      </c>
      <c r="F19" s="102" t="n">
        <f aca="false">input!$D$2</f>
        <v>2022</v>
      </c>
      <c r="G19" s="0"/>
      <c r="H19" s="39" t="n">
        <f aca="false">AM19</f>
        <v>-23.7455869970052</v>
      </c>
      <c r="I19" s="48" t="n">
        <f aca="false">H19+1.02/(TAN($A$4*(H19+10.3/(H19+5.11)))*60)</f>
        <v>-23.7832408145577</v>
      </c>
      <c r="J19" s="39" t="n">
        <f aca="false">100*(1+COS($A$4*AQ19))/2</f>
        <v>51.476789077993</v>
      </c>
      <c r="K19" s="48" t="n">
        <f aca="false">IF(AI19&gt;180,AT19-180,AT19+180)</f>
        <v>223.95622377755</v>
      </c>
      <c r="L19" s="10" t="n">
        <f aca="false">L18+1/8</f>
        <v>2459855.625</v>
      </c>
      <c r="M19" s="49" t="n">
        <f aca="false">(L19-2451545)/36525</f>
        <v>0.227532511978097</v>
      </c>
      <c r="N19" s="15" t="n">
        <f aca="false">MOD(280.46061837+360.98564736629*(L19-2451545)+0.000387933*M19^2-M19^3/38710000+$G$4,360)</f>
        <v>56.8062819270417</v>
      </c>
      <c r="O19" s="18" t="n">
        <f aca="false">0.60643382+1336.85522467*M19 - 0.00000313*M19^2 - INT(0.60643382+1336.85522467*M19 - 0.00000313*M19^2)</f>
        <v>0.784461078165293</v>
      </c>
      <c r="P19" s="15" t="n">
        <f aca="false">22640*SIN(Q19)-4586*SIN(Q19-2*S19)+2370*SIN(2*S19)+769*SIN(2*Q19)-668*SIN(R19)-412*SIN(2*T19)-212*SIN(2*Q19-2*S19)-206*SIN(Q19+R19-2*S19)+192*SIN(Q19+2*S19)-165*SIN(R19-2*S19)-125*SIN(S19)-110*SIN(Q19+R19)+148*SIN(Q19-R19)-55*SIN(2*T19-2*S19)</f>
        <v>-3465.69585858098</v>
      </c>
      <c r="Q19" s="18" t="n">
        <f aca="false">2*PI()*(0.374897+1325.55241*M19 - INT(0.374897+1325.55241*M19))</f>
        <v>6.16485160221544</v>
      </c>
      <c r="R19" s="26" t="n">
        <f aca="false">2*PI()*(0.99312619+99.99735956*M19 - 0.00000044*M19^2 - INT(0.99312619+99.99735956*M19- 0.00000044*M19^2))</f>
        <v>4.68585244414262</v>
      </c>
      <c r="S19" s="26" t="n">
        <f aca="false">2*PI()*(0.827361+1236.853086*M19 - INT(0.827361+1236.853086*M19))</f>
        <v>1.58116738665295</v>
      </c>
      <c r="T19" s="26" t="n">
        <f aca="false">2*PI()*(0.259086+1342.227825*M19 - INT(0.259086+1342.227825*M19))</f>
        <v>4.14410420647174</v>
      </c>
      <c r="U19" s="26" t="n">
        <f aca="false">T19+(P19+412*SIN(2*T19)+541*SIN(R19))/206264.8062</f>
        <v>4.12649218210026</v>
      </c>
      <c r="V19" s="26" t="n">
        <f aca="false">T19-2*S19</f>
        <v>0.981769433165836</v>
      </c>
      <c r="W19" s="25" t="n">
        <f aca="false">-526*SIN(V19)+44*SIN(Q19+V19)-31*SIN(-Q19+V19)-23*SIN(R19+V19)+11*SIN(-R19+V19)-25*SIN(-2*Q19+T19)+21*SIN(-Q19+T19)</f>
        <v>-407.669780769282</v>
      </c>
      <c r="X19" s="26" t="n">
        <f aca="false">2*PI()*(O19+P19/1296000-INT(O19+P19/1296000))</f>
        <v>4.91211215271438</v>
      </c>
      <c r="Y19" s="26" t="n">
        <f aca="false">(18520*SIN(U19)+W19)/206264.8062</f>
        <v>-0.0767888636907133</v>
      </c>
      <c r="Z19" s="26" t="n">
        <f aca="false">Y19*180/PI()</f>
        <v>-4.39967780308324</v>
      </c>
      <c r="AA19" s="26" t="n">
        <f aca="false">COS(Y19)*COS(X19)</f>
        <v>0.197813371124837</v>
      </c>
      <c r="AB19" s="26" t="n">
        <f aca="false">COS(Y19)*SIN(X19)</f>
        <v>-0.977233299267044</v>
      </c>
      <c r="AC19" s="26" t="n">
        <f aca="false">SIN(Y19)</f>
        <v>-0.0767134213021129</v>
      </c>
      <c r="AD19" s="26" t="n">
        <f aca="false">COS($A$4*(23.4393-46.815*M19/3600))*AB19-SIN($A$4*(23.4393-46.815*M19/3600))*AC19</f>
        <v>-0.866102812692529</v>
      </c>
      <c r="AE19" s="26" t="n">
        <f aca="false">SIN($A$4*(23.4393-46.815*M19/3600))*AB19+COS($A$4*(23.4393-46.815*M19/3600))*AC19</f>
        <v>-0.459059678092422</v>
      </c>
      <c r="AF19" s="26" t="n">
        <f aca="false">SQRT(1-AE19*AE19)</f>
        <v>0.888405432192804</v>
      </c>
      <c r="AG19" s="10" t="n">
        <f aca="false">ATAN(AE19/AF19)/$A$4</f>
        <v>-27.3264468786705</v>
      </c>
      <c r="AH19" s="26" t="n">
        <f aca="false">IF(24*ATAN(AD19/(AA19+AF19))/PI()&gt;0,24*ATAN(AD19/(AA19+AF19))/PI(),24*ATAN(AD19/(AA19+AF19))/PI()+24)</f>
        <v>18.8576922076194</v>
      </c>
      <c r="AI19" s="10" t="n">
        <f aca="false">IF(N19-15*AH19&gt;0,N19-15*AH19,360+N19-15*AH19)</f>
        <v>133.94089881275</v>
      </c>
      <c r="AJ19" s="18" t="n">
        <f aca="false">0.950724+0.051818*COS(Q19)+0.009531*COS(2*S19-Q19)+0.007843*COS(2*S19)+0.002824*COS(2*Q19)+0.000857*COS(2*S19+Q19)+0.000533*COS(2*S19-R19)+0.000401*COS(2*S19-R19-Q19)+0.00032*COS(Q19-R19)-0.000271*COS(S19)</f>
        <v>0.986915136265812</v>
      </c>
      <c r="AK19" s="50" t="n">
        <f aca="false">ASIN(COS($A$4*$G$2)*COS($A$4*AG19)*COS($A$4*AI19)+SIN($A$4*$G$2)*SIN($A$4*AG19))/$A$4</f>
        <v>-22.836499320326</v>
      </c>
      <c r="AL19" s="18" t="n">
        <f aca="false">ASIN((0.9983271+0.0016764*COS($A$4*2*$G$2))*COS($A$4*AK19)*SIN($A$4*AJ19))/$A$4</f>
        <v>0.909087676679146</v>
      </c>
      <c r="AM19" s="18" t="n">
        <f aca="false">AK19-AL19</f>
        <v>-23.7455869970052</v>
      </c>
      <c r="AN19" s="10" t="n">
        <f aca="false"> IF(280.4664567 + 360007.6982779*M19/10 + 0.03032028*M19^2/100 + M19^3/49931000&lt;0,MOD(280.4664567 + 360007.6982779*M19/10 + 0.03032028*M19^2/100 + M19^3/49931000+360,360),MOD(280.4664567 + 360007.6982779*M19/10 + 0.03032028*M19^2/100 + M19^3/49931000,360))</f>
        <v>191.812064459711</v>
      </c>
      <c r="AO19" s="27" t="n">
        <f aca="false"> AN19 + (1.9146 - 0.004817*M19 - 0.000014*M19^2)*SIN(R19)+ (0.019993 - 0.000101*M19)*SIN(2*R19)+ 0.00029*SIN(3*R19)</f>
        <v>189.900583356163</v>
      </c>
      <c r="AP19" s="18" t="n">
        <f aca="false">ACOS(COS(X19-$A$4*AO19)*COS(Y19))/$A$4</f>
        <v>91.5381643077588</v>
      </c>
      <c r="AQ19" s="25" t="n">
        <f aca="false">180 - AP19 -0.1468*(1-0.0549*SIN(R19))*SIN($A$4*AP19)/(1-0.0167*SIN($A$4*AO19))</f>
        <v>88.3074782290915</v>
      </c>
      <c r="AR19" s="25" t="n">
        <f aca="false">SIN($A$4*AI19)</f>
        <v>0.720055964788584</v>
      </c>
      <c r="AS19" s="25" t="n">
        <f aca="false">COS($A$4*AI19)*SIN($A$4*$G$2) - TAN($A$4*AG19)*COS($A$4*$G$2)</f>
        <v>0.74678077270088</v>
      </c>
      <c r="AT19" s="25" t="n">
        <f aca="false">IF(OR(AND(AR19*AS19&gt;0), AND(AR19&lt;0,AS19&gt;0)), MOD(ATAN2(AS19,AR19)/$A$4+360,360),  ATAN2(AS19,AR19)/$A$4)</f>
        <v>43.9562237775499</v>
      </c>
      <c r="AU19" s="29" t="n">
        <f aca="false">(1+SIN($A$4*H19)*SIN($A$4*AJ19))*120*ASIN(0.272481*SIN($A$4*AJ19))/$A$4</f>
        <v>32.0445929178825</v>
      </c>
      <c r="AV19" s="10" t="n">
        <f aca="false">COS(X19)</f>
        <v>0.198398013638665</v>
      </c>
      <c r="AW19" s="10" t="n">
        <f aca="false">SIN(X19)</f>
        <v>-0.98012153745555</v>
      </c>
      <c r="AX19" s="30" t="n">
        <f aca="false"> 385000.56 + (-20905355*COS(Q19) - 3699111*COS(2*S19-Q19) - 2955968*COS(2*S19) - 569925*COS(2*Q19) + (1-0.002516*M19)*48888*COS(R19) - 3149*COS(2*T19)  +246158*COS(2*S19-2*Q19) -(1-0.002516*M19)*152138*COS(2*S19-R19-Q19) -170733*COS(2*S19+Q19) -(1-0.002516*M19)*204586*COS(2*S19-R19) -(1-0.002516*M19)*129620*COS(R19-Q19)  + 108743*COS(S19) +(1-0.002516*M19)*104755*COS(R19+Q19) +10321*COS(2*S19-2*T19) +79661*COS(Q19-2*T19) -34782*COS(4*S19-Q19) -23210*COS(3*Q19)  -21636*COS(4*S19-2*Q19) +(1-0.002516*M19)*24208*COS(2*S19+R19-Q19) +(1-0.002516*M19)*30824*COS(2*S19+R19) -8379*COS(S19-Q19) -(1-0.002516*M19)*16675*COS(S19+R19)  -(1-0.002516*M19)*12831*COS(2*S19-R19+Q19) -10445*COS(2*S19+2*Q19) -11650*COS(4*S19) +14403*COS(2*S19-3*Q19) -(1-0.002516*M19)*7003*COS(R19-2*Q19)  + (1-0.002516*M19)*10056*COS(2*S19-R19-2*Q19) +6322*COS(S19+Q19) -(1-0.002516*M19)*(1-0.002516*M19)*9884*COS(2*S19-2*R19) +(1-0.002516*M19)*5751*COS(R19+2*Q19) -(1-0.002516*M19)*(1-0.002516*M19)*4950*COS(2*S19-2*R19-Q19)  +4130*COS(2*S19+Q19-2*T19) -(1-0.002516*M19)*3958*COS(4*S19-R19-Q19) +3258*COS(3*S19-Q19) +(1-0.002516*M19)*2616*COS(2*S19+R19+Q19) -(1-0.002516*M19)*1897*COS(4*S19-R19-2*Q19)  -(1-0.002516*M19)*(1-0.002516*M19)*2117*COS(2*R19-Q19) +(1-0.002516*M19)*(1-0.002516*M19)*2354*COS(2*S19+2*R19-Q19) -1423*COS(4*S19+Q19) -1117*COS(4*Q19) -(1-0.002516*M19)*1571*COS(4*S19-R19)  -1739*COS(S19-2*Q19) -4421*COS(2*Q19-2*T19) +(1-0.002516*M19)*(1-0.002516*M19)*1165*COS(2*R19+Q19) +8752*COS(2*S19-Q19-2*T19))/1000</f>
        <v>370025.288408355</v>
      </c>
      <c r="AY19" s="10" t="n">
        <f aca="false">AY18+1/8</f>
        <v>3.125</v>
      </c>
      <c r="AZ19" s="17" t="n">
        <f aca="false">AZ18+1</f>
        <v>18</v>
      </c>
      <c r="BA19" s="32" t="n">
        <f aca="false">ATAN(0.99664719*TAN($A$4*input!$E$2))</f>
        <v>-0.400219206115995</v>
      </c>
      <c r="BB19" s="32" t="n">
        <f aca="false">COS(BA19)</f>
        <v>0.920975608992155</v>
      </c>
      <c r="BC19" s="32" t="n">
        <f aca="false">0.99664719*SIN(BA19)</f>
        <v>-0.388313912533463</v>
      </c>
      <c r="BD19" s="32" t="n">
        <f aca="false">6378.14/AX19</f>
        <v>0.017237038115517</v>
      </c>
      <c r="BE19" s="33" t="n">
        <f aca="false">MOD(N19-15*AH19,360)</f>
        <v>133.94089881275</v>
      </c>
      <c r="BF19" s="27" t="n">
        <f aca="false">COS($A$4*AG19)*SIN($A$4*BE19)</f>
        <v>0.639701630601008</v>
      </c>
      <c r="BG19" s="27" t="n">
        <f aca="false">COS($A$4*AG19)*COS($A$4*BE19)-BB19*BD19</f>
        <v>-0.632353630770605</v>
      </c>
      <c r="BH19" s="27" t="n">
        <f aca="false">SIN($A$4*AG19)-BC19*BD19</f>
        <v>-0.452366296381297</v>
      </c>
      <c r="BI19" s="46" t="n">
        <f aca="false">SQRT(BF19^2+BG19^2+BH19^2)</f>
        <v>1.00683889309268</v>
      </c>
      <c r="BJ19" s="35" t="n">
        <f aca="false">AX19*BI19</f>
        <v>372555.851797367</v>
      </c>
    </row>
    <row r="20" customFormat="false" ht="15" hidden="false" customHeight="false" outlineLevel="0" collapsed="false">
      <c r="A20" s="0"/>
      <c r="B20" s="20"/>
      <c r="C20" s="15" t="n">
        <f aca="false">MOD(C19+3,24)</f>
        <v>6</v>
      </c>
      <c r="D20" s="17" t="n">
        <v>3</v>
      </c>
      <c r="E20" s="102" t="n">
        <f aca="false">input!$C$2</f>
        <v>10</v>
      </c>
      <c r="F20" s="102" t="n">
        <f aca="false">input!$D$2</f>
        <v>2022</v>
      </c>
      <c r="G20" s="0"/>
      <c r="H20" s="39" t="n">
        <f aca="false">AM20</f>
        <v>-40.4390657782137</v>
      </c>
      <c r="I20" s="48" t="n">
        <f aca="false">H20+1.02/(TAN($A$4*(H20+10.3/(H20+5.11)))*60)</f>
        <v>-40.4588087563967</v>
      </c>
      <c r="J20" s="39" t="n">
        <f aca="false">100*(1+COS($A$4*AQ20))/2</f>
        <v>52.9084290692879</v>
      </c>
      <c r="K20" s="48" t="n">
        <f aca="false">IF(AI20&gt;180,AT20-180,AT20+180)</f>
        <v>183.376144587757</v>
      </c>
      <c r="L20" s="10" t="n">
        <f aca="false">L19+1/8</f>
        <v>2459855.75</v>
      </c>
      <c r="M20" s="49" t="n">
        <f aca="false">(L20-2451545)/36525</f>
        <v>0.227535934291581</v>
      </c>
      <c r="N20" s="15" t="n">
        <f aca="false">MOD(280.46061837+360.98564736629*(L20-2451545)+0.000387933*M20^2-M20^3/38710000+$G$4,360)</f>
        <v>101.929487848654</v>
      </c>
      <c r="O20" s="18" t="n">
        <f aca="false">0.60643382+1336.85522467*M20 - 0.00000313*M20^2 - INT(0.60643382+1336.85522467*M20 - 0.00000313*M20^2)</f>
        <v>0.789036215821795</v>
      </c>
      <c r="P20" s="15" t="n">
        <f aca="false">22640*SIN(Q20)-4586*SIN(Q20-2*S20)+2370*SIN(2*S20)+769*SIN(2*Q20)-668*SIN(R20)-412*SIN(2*T20)-212*SIN(2*Q20-2*S20)-206*SIN(Q20+R20-2*S20)+192*SIN(Q20+2*S20)-165*SIN(R20-2*S20)-125*SIN(S20)-110*SIN(Q20+R20)+148*SIN(Q20-R20)-55*SIN(2*T20-2*S20)</f>
        <v>-3020.9059555114</v>
      </c>
      <c r="Q20" s="18" t="n">
        <f aca="false">2*PI()*(0.374897+1325.55241*M20 - INT(0.374897+1325.55241*M20))</f>
        <v>6.19335499518759</v>
      </c>
      <c r="R20" s="26" t="n">
        <f aca="false">2*PI()*(0.99312619+99.99735956*M20 - 0.00000044*M20^2 - INT(0.99312619+99.99735956*M20- 0.00000044*M20^2))</f>
        <v>4.68800269034073</v>
      </c>
      <c r="S20" s="26" t="n">
        <f aca="false">2*PI()*(0.827361+1236.853086*M20 - INT(0.827361+1236.853086*M20))</f>
        <v>1.60776347541788</v>
      </c>
      <c r="T20" s="26" t="n">
        <f aca="false">2*PI()*(0.259086+1342.227825*M20 - INT(0.259086+1342.227825*M20))</f>
        <v>4.17296617138915</v>
      </c>
      <c r="U20" s="26" t="n">
        <f aca="false">T20+(P20+412*SIN(2*T20)+541*SIN(R20))/206264.8062</f>
        <v>4.15745890696343</v>
      </c>
      <c r="V20" s="26" t="n">
        <f aca="false">T20-2*S20</f>
        <v>0.957439220553392</v>
      </c>
      <c r="W20" s="25" t="n">
        <f aca="false">-526*SIN(V20)+44*SIN(Q20+V20)-31*SIN(-Q20+V20)-23*SIN(R20+V20)+11*SIN(-R20+V20)-25*SIN(-2*Q20+T20)+21*SIN(-Q20+T20)</f>
        <v>-399.115410319999</v>
      </c>
      <c r="X20" s="26" t="n">
        <f aca="false">2*PI()*(O20+P20/1296000-INT(O20+P20/1296000))</f>
        <v>4.94301499271831</v>
      </c>
      <c r="Y20" s="26" t="n">
        <f aca="false">(18520*SIN(U20)+W20)/206264.8062</f>
        <v>-0.0782487048360614</v>
      </c>
      <c r="Z20" s="26" t="n">
        <f aca="false">Y20*180/PI()</f>
        <v>-4.48332053947123</v>
      </c>
      <c r="AA20" s="26" t="n">
        <f aca="false">COS(Y20)*COS(X20)</f>
        <v>0.227887559893871</v>
      </c>
      <c r="AB20" s="26" t="n">
        <f aca="false">COS(Y20)*SIN(X20)</f>
        <v>-0.970544633960962</v>
      </c>
      <c r="AC20" s="26" t="n">
        <f aca="false">SIN(Y20)</f>
        <v>-0.0781688783033293</v>
      </c>
      <c r="AD20" s="26" t="n">
        <f aca="false">COS($A$4*(23.4393-46.815*M20/3600))*AB20-SIN($A$4*(23.4393-46.815*M20/3600))*AC20</f>
        <v>-0.859387066840308</v>
      </c>
      <c r="AE20" s="26" t="n">
        <f aca="false">SIN($A$4*(23.4393-46.815*M20/3600))*AB20+COS($A$4*(23.4393-46.815*M20/3600))*AC20</f>
        <v>-0.457734780624358</v>
      </c>
      <c r="AF20" s="26" t="n">
        <f aca="false">SQRT(1-AE20*AE20)</f>
        <v>0.889088786683743</v>
      </c>
      <c r="AG20" s="10" t="n">
        <f aca="false">ATAN(AE20/AF20)/$A$4</f>
        <v>-27.2410333585103</v>
      </c>
      <c r="AH20" s="26" t="n">
        <f aca="false">IF(24*ATAN(AD20/(AA20+AF20))/PI()&gt;0,24*ATAN(AD20/(AA20+AF20))/PI(),24*ATAN(AD20/(AA20+AF20))/PI()+24)</f>
        <v>18.9901046816425</v>
      </c>
      <c r="AI20" s="10" t="n">
        <f aca="false">IF(N20-15*AH20&gt;0,N20-15*AH20,360+N20-15*AH20)</f>
        <v>177.077917624017</v>
      </c>
      <c r="AJ20" s="18" t="n">
        <f aca="false">0.950724+0.051818*COS(Q20)+0.009531*COS(2*S20-Q20)+0.007843*COS(2*S20)+0.002824*COS(2*Q20)+0.000857*COS(2*S20+Q20)+0.000533*COS(2*S20-R20)+0.000401*COS(2*S20-R20-Q20)+0.00032*COS(Q20-R20)-0.000271*COS(S20)</f>
        <v>0.987187936226484</v>
      </c>
      <c r="AK20" s="50" t="n">
        <f aca="false">ASIN(COS($A$4*$G$2)*COS($A$4*AG20)*COS($A$4*AI20)+SIN($A$4*$G$2)*SIN($A$4*AG20))/$A$4</f>
        <v>-39.6797020588207</v>
      </c>
      <c r="AL20" s="18" t="n">
        <f aca="false">ASIN((0.9983271+0.0016764*COS($A$4*2*$G$2))*COS($A$4*AK20)*SIN($A$4*AJ20))/$A$4</f>
        <v>0.759363719392979</v>
      </c>
      <c r="AM20" s="18" t="n">
        <f aca="false">AK20-AL20</f>
        <v>-40.4390657782137</v>
      </c>
      <c r="AN20" s="10" t="n">
        <f aca="false"> IF(280.4664567 + 360007.6982779*M20/10 + 0.03032028*M20^2/100 + M20^3/49931000&lt;0,MOD(280.4664567 + 360007.6982779*M20/10 + 0.03032028*M20^2/100 + M20^3/49931000+360,360),MOD(280.4664567 + 360007.6982779*M20/10 + 0.03032028*M20^2/100 + M20^3/49931000,360))</f>
        <v>191.935270380196</v>
      </c>
      <c r="AO20" s="27" t="n">
        <f aca="false"> AN20 + (1.9146 - 0.004817*M20 - 0.000014*M20^2)*SIN(R20)+ (0.019993 - 0.000101*M20)*SIN(2*R20)+ 0.00029*SIN(3*R20)</f>
        <v>190.02359891664</v>
      </c>
      <c r="AP20" s="18" t="n">
        <f aca="false">ACOS(COS(X20-$A$4*AO20)*COS(Y20))/$A$4</f>
        <v>93.1805262892956</v>
      </c>
      <c r="AQ20" s="25" t="n">
        <f aca="false">180 - AP20 -0.1468*(1-0.0549*SIN(R20))*SIN($A$4*AP20)/(1-0.0167*SIN($A$4*AO20))</f>
        <v>86.6653034427778</v>
      </c>
      <c r="AR20" s="25" t="n">
        <f aca="false">SIN($A$4*AI20)</f>
        <v>0.0509778529044328</v>
      </c>
      <c r="AS20" s="25" t="n">
        <f aca="false">COS($A$4*AI20)*SIN($A$4*$G$2) - TAN($A$4*AG20)*COS($A$4*$G$2)</f>
        <v>0.864131991656755</v>
      </c>
      <c r="AT20" s="25" t="n">
        <f aca="false">IF(OR(AND(AR20*AS20&gt;0), AND(AR20&lt;0,AS20&gt;0)), MOD(ATAN2(AS20,AR20)/$A$4+360,360),  ATAN2(AS20,AR20)/$A$4)</f>
        <v>3.37614458775704</v>
      </c>
      <c r="AU20" s="29" t="n">
        <f aca="false">(1+SIN($A$4*H20)*SIN($A$4*AJ20))*120*ASIN(0.272481*SIN($A$4*AJ20))/$A$4</f>
        <v>31.9166079095528</v>
      </c>
      <c r="AV20" s="10" t="n">
        <f aca="false">COS(X20)</f>
        <v>0.228587005996267</v>
      </c>
      <c r="AW20" s="10" t="n">
        <f aca="false">SIN(X20)</f>
        <v>-0.973523487487417</v>
      </c>
      <c r="AX20" s="30" t="n">
        <f aca="false"> 385000.56 + (-20905355*COS(Q20) - 3699111*COS(2*S20-Q20) - 2955968*COS(2*S20) - 569925*COS(2*Q20) + (1-0.002516*M20)*48888*COS(R20) - 3149*COS(2*T20)  +246158*COS(2*S20-2*Q20) -(1-0.002516*M20)*152138*COS(2*S20-R20-Q20) -170733*COS(2*S20+Q20) -(1-0.002516*M20)*204586*COS(2*S20-R20) -(1-0.002516*M20)*129620*COS(R20-Q20)  + 108743*COS(S20) +(1-0.002516*M20)*104755*COS(R20+Q20) +10321*COS(2*S20-2*T20) +79661*COS(Q20-2*T20) -34782*COS(4*S20-Q20) -23210*COS(3*Q20)  -21636*COS(4*S20-2*Q20) +(1-0.002516*M20)*24208*COS(2*S20+R20-Q20) +(1-0.002516*M20)*30824*COS(2*S20+R20) -8379*COS(S20-Q20) -(1-0.002516*M20)*16675*COS(S20+R20)  -(1-0.002516*M20)*12831*COS(2*S20-R20+Q20) -10445*COS(2*S20+2*Q20) -11650*COS(4*S20) +14403*COS(2*S20-3*Q20) -(1-0.002516*M20)*7003*COS(R20-2*Q20)  + (1-0.002516*M20)*10056*COS(2*S20-R20-2*Q20) +6322*COS(S20+Q20) -(1-0.002516*M20)*(1-0.002516*M20)*9884*COS(2*S20-2*R20) +(1-0.002516*M20)*5751*COS(R20+2*Q20) -(1-0.002516*M20)*(1-0.002516*M20)*4950*COS(2*S20-2*R20-Q20)  +4130*COS(2*S20+Q20-2*T20) -(1-0.002516*M20)*3958*COS(4*S20-R20-Q20) +3258*COS(3*S20-Q20) +(1-0.002516*M20)*2616*COS(2*S20+R20+Q20) -(1-0.002516*M20)*1897*COS(4*S20-R20-2*Q20)  -(1-0.002516*M20)*(1-0.002516*M20)*2117*COS(2*R20-Q20) +(1-0.002516*M20)*(1-0.002516*M20)*2354*COS(2*S20+2*R20-Q20) -1423*COS(4*S20+Q20) -1117*COS(4*Q20) -(1-0.002516*M20)*1571*COS(4*S20-R20)  -1739*COS(S20-2*Q20) -4421*COS(2*Q20-2*T20) +(1-0.002516*M20)*(1-0.002516*M20)*1165*COS(2*R20+Q20) +8752*COS(2*S20-Q20-2*T20))/1000</f>
        <v>369922.198188168</v>
      </c>
      <c r="AY20" s="10" t="n">
        <f aca="false">AY19+1/8</f>
        <v>3.25</v>
      </c>
      <c r="AZ20" s="17" t="n">
        <f aca="false">AZ19+1</f>
        <v>19</v>
      </c>
      <c r="BA20" s="32" t="n">
        <f aca="false">ATAN(0.99664719*TAN($A$4*input!$E$2))</f>
        <v>-0.400219206115995</v>
      </c>
      <c r="BB20" s="32" t="n">
        <f aca="false">COS(BA20)</f>
        <v>0.920975608992155</v>
      </c>
      <c r="BC20" s="32" t="n">
        <f aca="false">0.99664719*SIN(BA20)</f>
        <v>-0.388313912533463</v>
      </c>
      <c r="BD20" s="32" t="n">
        <f aca="false">6378.14/AX20</f>
        <v>0.017241841747371</v>
      </c>
      <c r="BE20" s="33" t="n">
        <f aca="false">MOD(N20-15*AH20,360)</f>
        <v>177.077917624017</v>
      </c>
      <c r="BF20" s="27" t="n">
        <f aca="false">COS($A$4*AG20)*SIN($A$4*BE20)</f>
        <v>0.0453238373865445</v>
      </c>
      <c r="BG20" s="27" t="n">
        <f aca="false">COS($A$4*AG20)*COS($A$4*BE20)-BB20*BD20</f>
        <v>-0.903812094899767</v>
      </c>
      <c r="BH20" s="27" t="n">
        <f aca="false">SIN($A$4*AG20)-BC20*BD20</f>
        <v>-0.451039533596153</v>
      </c>
      <c r="BI20" s="46" t="n">
        <f aca="false">SQRT(BF20^2+BG20^2+BH20^2)</f>
        <v>1.0111217602194</v>
      </c>
      <c r="BJ20" s="35" t="n">
        <f aca="false">AX20*BI20</f>
        <v>374036.384176251</v>
      </c>
    </row>
    <row r="21" customFormat="false" ht="15" hidden="false" customHeight="false" outlineLevel="0" collapsed="false">
      <c r="A21" s="0"/>
      <c r="B21" s="20"/>
      <c r="C21" s="15" t="n">
        <f aca="false">MOD(C20+3,24)</f>
        <v>9</v>
      </c>
      <c r="D21" s="17" t="n">
        <v>3</v>
      </c>
      <c r="E21" s="102" t="n">
        <f aca="false">input!$C$2</f>
        <v>10</v>
      </c>
      <c r="F21" s="102" t="n">
        <f aca="false">input!$D$2</f>
        <v>2022</v>
      </c>
      <c r="G21" s="0"/>
      <c r="H21" s="39" t="n">
        <f aca="false">AM21</f>
        <v>-27.4603028486358</v>
      </c>
      <c r="I21" s="48" t="n">
        <f aca="false">H21+1.02/(TAN($A$4*(H21+10.3/(H21+5.11)))*60)</f>
        <v>-27.4923816259167</v>
      </c>
      <c r="J21" s="39" t="n">
        <f aca="false">100*(1+COS($A$4*AQ21))/2</f>
        <v>54.3383575366391</v>
      </c>
      <c r="K21" s="48" t="n">
        <f aca="false">IF(AI21&gt;180,AT21-180,AT21+180)</f>
        <v>140.016972182761</v>
      </c>
      <c r="L21" s="10" t="n">
        <f aca="false">L20+1/8</f>
        <v>2459855.875</v>
      </c>
      <c r="M21" s="49" t="n">
        <f aca="false">(L21-2451545)/36525</f>
        <v>0.227539356605065</v>
      </c>
      <c r="N21" s="15" t="n">
        <f aca="false">MOD(280.46061837+360.98564736629*(L21-2451545)+0.000387933*M21^2-M21^3/38710000+$G$4,360)</f>
        <v>147.052693769801</v>
      </c>
      <c r="O21" s="18" t="n">
        <f aca="false">0.60643382+1336.85522467*M21 - 0.00000313*M21^2 - INT(0.60643382+1336.85522467*M21 - 0.00000313*M21^2)</f>
        <v>0.793611353478354</v>
      </c>
      <c r="P21" s="15" t="n">
        <f aca="false">22640*SIN(Q21)-4586*SIN(Q21-2*S21)+2370*SIN(2*S21)+769*SIN(2*Q21)-668*SIN(R21)-412*SIN(2*T21)-212*SIN(2*Q21-2*S21)-206*SIN(Q21+R21-2*S21)+192*SIN(Q21+2*S21)-165*SIN(R21-2*S21)-125*SIN(S21)-110*SIN(Q21+R21)+148*SIN(Q21-R21)-55*SIN(2*T21-2*S21)</f>
        <v>-2571.46911554659</v>
      </c>
      <c r="Q21" s="18" t="n">
        <f aca="false">2*PI()*(0.374897+1325.55241*M21 - INT(0.374897+1325.55241*M21))</f>
        <v>6.22185838815939</v>
      </c>
      <c r="R21" s="26" t="n">
        <f aca="false">2*PI()*(0.99312619+99.99735956*M21 - 0.00000044*M21^2 - INT(0.99312619+99.99735956*M21- 0.00000044*M21^2))</f>
        <v>4.69015293653883</v>
      </c>
      <c r="S21" s="26" t="n">
        <f aca="false">2*PI()*(0.827361+1236.853086*M21 - INT(0.827361+1236.853086*M21))</f>
        <v>1.63435956418244</v>
      </c>
      <c r="T21" s="26" t="n">
        <f aca="false">2*PI()*(0.259086+1342.227825*M21 - INT(0.259086+1342.227825*M21))</f>
        <v>4.20182813630691</v>
      </c>
      <c r="U21" s="26" t="n">
        <f aca="false">T21+(P21+412*SIN(2*T21)+541*SIN(R21))/206264.8062</f>
        <v>4.18844230827679</v>
      </c>
      <c r="V21" s="26" t="n">
        <f aca="false">T21-2*S21</f>
        <v>0.933109007942021</v>
      </c>
      <c r="W21" s="25" t="n">
        <f aca="false">-526*SIN(V21)+44*SIN(Q21+V21)-31*SIN(-Q21+V21)-23*SIN(R21+V21)+11*SIN(-R21+V21)-25*SIN(-2*Q21+T21)+21*SIN(-Q21+T21)</f>
        <v>-390.261650200049</v>
      </c>
      <c r="X21" s="26" t="n">
        <f aca="false">2*PI()*(O21+P21/1296000-INT(O21+P21/1296000))</f>
        <v>4.97394036170843</v>
      </c>
      <c r="Y21" s="26" t="n">
        <f aca="false">(18520*SIN(U21)+W21)/206264.8062</f>
        <v>-0.0796346693295982</v>
      </c>
      <c r="Z21" s="26" t="n">
        <f aca="false">Y21*180/PI()</f>
        <v>-4.56273045550588</v>
      </c>
      <c r="AA21" s="26" t="n">
        <f aca="false">COS(Y21)*COS(X21)</f>
        <v>0.257760000262187</v>
      </c>
      <c r="AB21" s="26" t="n">
        <f aca="false">COS(Y21)*SIN(X21)</f>
        <v>-0.962928603798297</v>
      </c>
      <c r="AC21" s="26" t="n">
        <f aca="false">SIN(Y21)</f>
        <v>-0.0795505264086849</v>
      </c>
      <c r="AD21" s="26" t="n">
        <f aca="false">COS($A$4*(23.4393-46.815*M21/3600))*AB21-SIN($A$4*(23.4393-46.815*M21/3600))*AC21</f>
        <v>-0.851849817378883</v>
      </c>
      <c r="AE21" s="26" t="n">
        <f aca="false">SIN($A$4*(23.4393-46.815*M21/3600))*AB21+COS($A$4*(23.4393-46.815*M21/3600))*AC21</f>
        <v>-0.45597332257096</v>
      </c>
      <c r="AF21" s="26" t="n">
        <f aca="false">SQRT(1-AE21*AE21)</f>
        <v>0.889993443292477</v>
      </c>
      <c r="AG21" s="10" t="n">
        <f aca="false">ATAN(AE21/AF21)/$A$4</f>
        <v>-27.1275770184149</v>
      </c>
      <c r="AH21" s="26" t="n">
        <f aca="false">IF(24*ATAN(AD21/(AA21+AF21))/PI()&gt;0,24*ATAN(AD21/(AA21+AF21))/PI(),24*ATAN(AD21/(AA21+AF21))/PI()+24)</f>
        <v>19.1223476014555</v>
      </c>
      <c r="AI21" s="10" t="n">
        <f aca="false">IF(N21-15*AH21&gt;0,N21-15*AH21,360+N21-15*AH21)</f>
        <v>220.217479747969</v>
      </c>
      <c r="AJ21" s="18" t="n">
        <f aca="false">0.950724+0.051818*COS(Q21)+0.009531*COS(2*S21-Q21)+0.007843*COS(2*S21)+0.002824*COS(2*Q21)+0.000857*COS(2*S21+Q21)+0.000533*COS(2*S21-R21)+0.000401*COS(2*S21-R21-Q21)+0.00032*COS(Q21-R21)-0.000271*COS(S21)</f>
        <v>0.987443158912444</v>
      </c>
      <c r="AK21" s="50" t="n">
        <f aca="false">ASIN(COS($A$4*$G$2)*COS($A$4*AG21)*COS($A$4*AI21)+SIN($A$4*$G$2)*SIN($A$4*AG21))/$A$4</f>
        <v>-26.5776617811352</v>
      </c>
      <c r="AL21" s="18" t="n">
        <f aca="false">ASIN((0.9983271+0.0016764*COS($A$4*2*$G$2))*COS($A$4*AK21)*SIN($A$4*AJ21))/$A$4</f>
        <v>0.882641067500561</v>
      </c>
      <c r="AM21" s="18" t="n">
        <f aca="false">AK21-AL21</f>
        <v>-27.4603028486358</v>
      </c>
      <c r="AN21" s="10" t="n">
        <f aca="false"> IF(280.4664567 + 360007.6982779*M21/10 + 0.03032028*M21^2/100 + M21^3/49931000&lt;0,MOD(280.4664567 + 360007.6982779*M21/10 + 0.03032028*M21^2/100 + M21^3/49931000+360,360),MOD(280.4664567 + 360007.6982779*M21/10 + 0.03032028*M21^2/100 + M21^3/49931000,360))</f>
        <v>192.058476300679</v>
      </c>
      <c r="AO21" s="27" t="n">
        <f aca="false"> AN21 + (1.9146 - 0.004817*M21 - 0.000014*M21^2)*SIN(R21)+ (0.019993 - 0.000101*M21)*SIN(2*R21)+ 0.00029*SIN(3*R21)</f>
        <v>190.146623291639</v>
      </c>
      <c r="AP21" s="18" t="n">
        <f aca="false">ACOS(COS(X21-$A$4*AO21)*COS(Y21))/$A$4</f>
        <v>94.8237944696199</v>
      </c>
      <c r="AQ21" s="25" t="n">
        <f aca="false">180 - AP21 -0.1468*(1-0.0549*SIN(R21))*SIN($A$4*AP21)/(1-0.0167*SIN($A$4*AO21))</f>
        <v>85.0223493490868</v>
      </c>
      <c r="AR21" s="25" t="n">
        <f aca="false">SIN($A$4*AI21)</f>
        <v>-0.645690675929515</v>
      </c>
      <c r="AS21" s="25" t="n">
        <f aca="false">COS($A$4*AI21)*SIN($A$4*$G$2) - TAN($A$4*AG21)*COS($A$4*$G$2)</f>
        <v>0.769967264790237</v>
      </c>
      <c r="AT21" s="25" t="n">
        <f aca="false">IF(OR(AND(AR21*AS21&gt;0), AND(AR21&lt;0,AS21&gt;0)), MOD(ATAN2(AS21,AR21)/$A$4+360,360),  ATAN2(AS21,AR21)/$A$4)</f>
        <v>320.016972182761</v>
      </c>
      <c r="AU21" s="29" t="n">
        <f aca="false">(1+SIN($A$4*H21)*SIN($A$4*AJ21))*120*ASIN(0.272481*SIN($A$4*AJ21))/$A$4</f>
        <v>32.0290909767441</v>
      </c>
      <c r="AV21" s="10" t="n">
        <f aca="false">COS(X21)</f>
        <v>0.258579481285669</v>
      </c>
      <c r="AW21" s="10" t="n">
        <f aca="false">SIN(X21)</f>
        <v>-0.965989985381854</v>
      </c>
      <c r="AX21" s="30" t="n">
        <f aca="false"> 385000.56 + (-20905355*COS(Q21) - 3699111*COS(2*S21-Q21) - 2955968*COS(2*S21) - 569925*COS(2*Q21) + (1-0.002516*M21)*48888*COS(R21) - 3149*COS(2*T21)  +246158*COS(2*S21-2*Q21) -(1-0.002516*M21)*152138*COS(2*S21-R21-Q21) -170733*COS(2*S21+Q21) -(1-0.002516*M21)*204586*COS(2*S21-R21) -(1-0.002516*M21)*129620*COS(R21-Q21)  + 108743*COS(S21) +(1-0.002516*M21)*104755*COS(R21+Q21) +10321*COS(2*S21-2*T21) +79661*COS(Q21-2*T21) -34782*COS(4*S21-Q21) -23210*COS(3*Q21)  -21636*COS(4*S21-2*Q21) +(1-0.002516*M21)*24208*COS(2*S21+R21-Q21) +(1-0.002516*M21)*30824*COS(2*S21+R21) -8379*COS(S21-Q21) -(1-0.002516*M21)*16675*COS(S21+R21)  -(1-0.002516*M21)*12831*COS(2*S21-R21+Q21) -10445*COS(2*S21+2*Q21) -11650*COS(4*S21) +14403*COS(2*S21-3*Q21) -(1-0.002516*M21)*7003*COS(R21-2*Q21)  + (1-0.002516*M21)*10056*COS(2*S21-R21-2*Q21) +6322*COS(S21+Q21) -(1-0.002516*M21)*(1-0.002516*M21)*9884*COS(2*S21-2*R21) +(1-0.002516*M21)*5751*COS(R21+2*Q21) -(1-0.002516*M21)*(1-0.002516*M21)*4950*COS(2*S21-2*R21-Q21)  +4130*COS(2*S21+Q21-2*T21) -(1-0.002516*M21)*3958*COS(4*S21-R21-Q21) +3258*COS(3*S21-Q21) +(1-0.002516*M21)*2616*COS(2*S21+R21+Q21) -(1-0.002516*M21)*1897*COS(4*S21-R21-2*Q21)  -(1-0.002516*M21)*(1-0.002516*M21)*2117*COS(2*R21-Q21) +(1-0.002516*M21)*(1-0.002516*M21)*2354*COS(2*S21+2*R21-Q21) -1423*COS(4*S21+Q21) -1117*COS(4*Q21) -(1-0.002516*M21)*1571*COS(4*S21-R21)  -1739*COS(S21-2*Q21) -4421*COS(2*Q21-2*T21) +(1-0.002516*M21)*(1-0.002516*M21)*1165*COS(2*R21+Q21) +8752*COS(2*S21-Q21-2*T21))/1000</f>
        <v>369826.775182335</v>
      </c>
      <c r="AY21" s="10" t="n">
        <f aca="false">AY20+1/8</f>
        <v>3.375</v>
      </c>
      <c r="AZ21" s="17" t="n">
        <f aca="false">AZ20+1</f>
        <v>20</v>
      </c>
      <c r="BA21" s="32" t="n">
        <f aca="false">ATAN(0.99664719*TAN($A$4*input!$E$2))</f>
        <v>-0.400219206115995</v>
      </c>
      <c r="BB21" s="32" t="n">
        <f aca="false">COS(BA21)</f>
        <v>0.920975608992155</v>
      </c>
      <c r="BC21" s="32" t="n">
        <f aca="false">0.99664719*SIN(BA21)</f>
        <v>-0.388313912533463</v>
      </c>
      <c r="BD21" s="32" t="n">
        <f aca="false">6378.14/AX21</f>
        <v>0.0172462905014257</v>
      </c>
      <c r="BE21" s="33" t="n">
        <f aca="false">MOD(N21-15*AH21,360)</f>
        <v>220.217479747969</v>
      </c>
      <c r="BF21" s="27" t="n">
        <f aca="false">COS($A$4*AG21)*SIN($A$4*BE21)</f>
        <v>-0.574660467972356</v>
      </c>
      <c r="BG21" s="27" t="n">
        <f aca="false">COS($A$4*AG21)*COS($A$4*BE21)-BB21*BD21</f>
        <v>-0.695481585094325</v>
      </c>
      <c r="BH21" s="27" t="n">
        <f aca="false">SIN($A$4*AG21)-BC21*BD21</f>
        <v>-0.449276348029662</v>
      </c>
      <c r="BI21" s="46" t="n">
        <f aca="false">SQRT(BF21^2+BG21^2+BH21^2)</f>
        <v>1.00785838566457</v>
      </c>
      <c r="BJ21" s="35" t="n">
        <f aca="false">AX21*BI21</f>
        <v>372733.016610802</v>
      </c>
    </row>
    <row r="22" customFormat="false" ht="15" hidden="false" customHeight="false" outlineLevel="0" collapsed="false">
      <c r="A22" s="0"/>
      <c r="B22" s="20"/>
      <c r="C22" s="15" t="n">
        <f aca="false">MOD(C21+3,24)</f>
        <v>12</v>
      </c>
      <c r="D22" s="17" t="n">
        <v>3</v>
      </c>
      <c r="E22" s="102" t="n">
        <f aca="false">input!$C$2</f>
        <v>10</v>
      </c>
      <c r="F22" s="102" t="n">
        <f aca="false">input!$D$2</f>
        <v>2022</v>
      </c>
      <c r="G22" s="0"/>
      <c r="H22" s="39" t="n">
        <f aca="false">AM22</f>
        <v>3.74639365362383</v>
      </c>
      <c r="I22" s="48" t="n">
        <f aca="false">H22+1.02/(TAN($A$4*(H22+10.3/(H22+5.11)))*60)</f>
        <v>3.94430872909255</v>
      </c>
      <c r="J22" s="39" t="n">
        <f aca="false">100*(1+COS($A$4*AQ22))/2</f>
        <v>55.765360373262</v>
      </c>
      <c r="K22" s="48" t="n">
        <f aca="false">IF(AI22&gt;180,AT22-180,AT22+180)</f>
        <v>117.356519515749</v>
      </c>
      <c r="L22" s="10" t="n">
        <f aca="false">L21+1/8</f>
        <v>2459856</v>
      </c>
      <c r="M22" s="49" t="n">
        <f aca="false">(L22-2451545)/36525</f>
        <v>0.227542778918549</v>
      </c>
      <c r="N22" s="15" t="n">
        <f aca="false">MOD(280.46061837+360.98564736629*(L22-2451545)+0.000387933*M22^2-M22^3/38710000+$G$4,360)</f>
        <v>192.175899690948</v>
      </c>
      <c r="O22" s="18" t="n">
        <f aca="false">0.60643382+1336.85522467*M22 - 0.00000313*M22^2 - INT(0.60643382+1336.85522467*M22 - 0.00000313*M22^2)</f>
        <v>0.798186491134914</v>
      </c>
      <c r="P22" s="15" t="n">
        <f aca="false">22640*SIN(Q22)-4586*SIN(Q22-2*S22)+2370*SIN(2*S22)+769*SIN(2*Q22)-668*SIN(R22)-412*SIN(2*T22)-212*SIN(2*Q22-2*S22)-206*SIN(Q22+R22-2*S22)+192*SIN(Q22+2*S22)-165*SIN(R22-2*S22)-125*SIN(S22)-110*SIN(Q22+R22)+148*SIN(Q22-R22)-55*SIN(2*T22-2*S22)</f>
        <v>-2117.56475452637</v>
      </c>
      <c r="Q22" s="18" t="n">
        <f aca="false">2*PI()*(0.374897+1325.55241*M22 - INT(0.374897+1325.55241*M22))</f>
        <v>6.25036178113119</v>
      </c>
      <c r="R22" s="26" t="n">
        <f aca="false">2*PI()*(0.99312619+99.99735956*M22 - 0.00000044*M22^2 - INT(0.99312619+99.99735956*M22- 0.00000044*M22^2))</f>
        <v>4.69230318273691</v>
      </c>
      <c r="S22" s="26" t="n">
        <f aca="false">2*PI()*(0.827361+1236.853086*M22 - INT(0.827361+1236.853086*M22))</f>
        <v>1.66095565294736</v>
      </c>
      <c r="T22" s="26" t="n">
        <f aca="false">2*PI()*(0.259086+1342.227825*M22 - INT(0.259086+1342.227825*M22))</f>
        <v>4.23069010122431</v>
      </c>
      <c r="U22" s="26" t="n">
        <f aca="false">T22+(P22+412*SIN(2*T22)+541*SIN(R22))/206264.8062</f>
        <v>4.2194417072926</v>
      </c>
      <c r="V22" s="26" t="n">
        <f aca="false">T22-2*S22</f>
        <v>0.908778795329578</v>
      </c>
      <c r="W22" s="25" t="n">
        <f aca="false">-526*SIN(V22)+44*SIN(Q22+V22)-31*SIN(-Q22+V22)-23*SIN(R22+V22)+11*SIN(-R22+V22)-25*SIN(-2*Q22+T22)+21*SIN(-Q22+T22)</f>
        <v>-381.115491215024</v>
      </c>
      <c r="X22" s="26" t="n">
        <f aca="false">2*PI()*(O22+P22/1296000-INT(O22+P22/1296000))</f>
        <v>5.00488738985182</v>
      </c>
      <c r="Y22" s="26" t="n">
        <f aca="false">(18520*SIN(U22)+W22)/206264.8062</f>
        <v>-0.0809452712699983</v>
      </c>
      <c r="Z22" s="26" t="n">
        <f aca="false">Y22*180/PI()</f>
        <v>-4.63782241531246</v>
      </c>
      <c r="AA22" s="26" t="n">
        <f aca="false">COS(Y22)*COS(X22)</f>
        <v>0.287401292067172</v>
      </c>
      <c r="AB22" s="26" t="n">
        <f aca="false">COS(Y22)*SIN(X22)</f>
        <v>-0.954391249984794</v>
      </c>
      <c r="AC22" s="26" t="n">
        <f aca="false">SIN(Y22)</f>
        <v>-0.0808569061403073</v>
      </c>
      <c r="AD22" s="26" t="n">
        <f aca="false">COS($A$4*(23.4393-46.815*M22/3600))*AB22-SIN($A$4*(23.4393-46.815*M22/3600))*AC22</f>
        <v>-0.843497187606873</v>
      </c>
      <c r="AE22" s="26" t="n">
        <f aca="false">SIN($A$4*(23.4393-46.815*M22/3600))*AB22+COS($A$4*(23.4393-46.815*M22/3600))*AC22</f>
        <v>-0.453776367627729</v>
      </c>
      <c r="AF22" s="26" t="n">
        <f aca="false">SQRT(1-AE22*AE22)</f>
        <v>0.891115597541971</v>
      </c>
      <c r="AG22" s="10" t="n">
        <f aca="false">ATAN(AE22/AF22)/$A$4</f>
        <v>-26.9862311723122</v>
      </c>
      <c r="AH22" s="26" t="n">
        <f aca="false">IF(24*ATAN(AD22/(AA22+AF22))/PI()&gt;0,24*ATAN(AD22/(AA22+AF22))/PI(),24*ATAN(AD22/(AA22+AF22))/PI()+24)</f>
        <v>19.2543535627317</v>
      </c>
      <c r="AI22" s="10" t="n">
        <f aca="false">IF(N22-15*AH22&gt;0,N22-15*AH22,360+N22-15*AH22)</f>
        <v>263.360596249973</v>
      </c>
      <c r="AJ22" s="18" t="n">
        <f aca="false">0.950724+0.051818*COS(Q22)+0.009531*COS(2*S22-Q22)+0.007843*COS(2*S22)+0.002824*COS(2*Q22)+0.000857*COS(2*S22+Q22)+0.000533*COS(2*S22-R22)+0.000401*COS(2*S22-R22-Q22)+0.00032*COS(Q22-R22)-0.000271*COS(S22)</f>
        <v>0.987680405725025</v>
      </c>
      <c r="AK22" s="50" t="n">
        <f aca="false">ASIN(COS($A$4*$G$2)*COS($A$4*AG22)*COS($A$4*AI22)+SIN($A$4*$G$2)*SIN($A$4*AG22))/$A$4</f>
        <v>4.73020928326308</v>
      </c>
      <c r="AL22" s="18" t="n">
        <f aca="false">ASIN((0.9983271+0.0016764*COS($A$4*2*$G$2))*COS($A$4*AK22)*SIN($A$4*AJ22))/$A$4</f>
        <v>0.983815629639252</v>
      </c>
      <c r="AM22" s="18" t="n">
        <f aca="false">AK22-AL22</f>
        <v>3.74639365362383</v>
      </c>
      <c r="AN22" s="10" t="n">
        <f aca="false"> IF(280.4664567 + 360007.6982779*M22/10 + 0.03032028*M22^2/100 + M22^3/49931000&lt;0,MOD(280.4664567 + 360007.6982779*M22/10 + 0.03032028*M22^2/100 + M22^3/49931000+360,360),MOD(280.4664567 + 360007.6982779*M22/10 + 0.03032028*M22^2/100 + M22^3/49931000,360))</f>
        <v>192.181682221166</v>
      </c>
      <c r="AO22" s="27" t="n">
        <f aca="false"> AN22 + (1.9146 - 0.004817*M22 - 0.000014*M22^2)*SIN(R22)+ (0.019993 - 0.000101*M22)*SIN(2*R22)+ 0.00029*SIN(3*R22)</f>
        <v>190.26965648319</v>
      </c>
      <c r="AP22" s="18" t="n">
        <f aca="false">ACOS(COS(X22-$A$4*AO22)*COS(Y22))/$A$4</f>
        <v>96.4679293433774</v>
      </c>
      <c r="AQ22" s="25" t="n">
        <f aca="false">180 - AP22 -0.1468*(1-0.0549*SIN(R22))*SIN($A$4*AP22)/(1-0.0167*SIN($A$4*AO22))</f>
        <v>83.3786553840736</v>
      </c>
      <c r="AR22" s="25" t="n">
        <f aca="false">SIN($A$4*AI22)</f>
        <v>-0.9932934855189</v>
      </c>
      <c r="AS22" s="25" t="n">
        <f aca="false">COS($A$4*AI22)*SIN($A$4*$G$2) - TAN($A$4*AG22)*COS($A$4*$G$2)</f>
        <v>0.513918493082598</v>
      </c>
      <c r="AT22" s="25" t="n">
        <f aca="false">IF(OR(AND(AR22*AS22&gt;0), AND(AR22&lt;0,AS22&gt;0)), MOD(ATAN2(AS22,AR22)/$A$4+360,360),  ATAN2(AS22,AR22)/$A$4)</f>
        <v>297.356519515749</v>
      </c>
      <c r="AU22" s="29" t="n">
        <f aca="false">(1+SIN($A$4*H22)*SIN($A$4*AJ22))*120*ASIN(0.272481*SIN($A$4*AJ22))/$A$4</f>
        <v>32.3297886985845</v>
      </c>
      <c r="AV22" s="10" t="n">
        <f aca="false">COS(X22)</f>
        <v>0.28834541572101</v>
      </c>
      <c r="AW22" s="10" t="n">
        <f aca="false">SIN(X22)</f>
        <v>-0.957526459808124</v>
      </c>
      <c r="AX22" s="30" t="n">
        <f aca="false"> 385000.56 + (-20905355*COS(Q22) - 3699111*COS(2*S22-Q22) - 2955968*COS(2*S22) - 569925*COS(2*Q22) + (1-0.002516*M22)*48888*COS(R22) - 3149*COS(2*T22)  +246158*COS(2*S22-2*Q22) -(1-0.002516*M22)*152138*COS(2*S22-R22-Q22) -170733*COS(2*S22+Q22) -(1-0.002516*M22)*204586*COS(2*S22-R22) -(1-0.002516*M22)*129620*COS(R22-Q22)  + 108743*COS(S22) +(1-0.002516*M22)*104755*COS(R22+Q22) +10321*COS(2*S22-2*T22) +79661*COS(Q22-2*T22) -34782*COS(4*S22-Q22) -23210*COS(3*Q22)  -21636*COS(4*S22-2*Q22) +(1-0.002516*M22)*24208*COS(2*S22+R22-Q22) +(1-0.002516*M22)*30824*COS(2*S22+R22) -8379*COS(S22-Q22) -(1-0.002516*M22)*16675*COS(S22+R22)  -(1-0.002516*M22)*12831*COS(2*S22-R22+Q22) -10445*COS(2*S22+2*Q22) -11650*COS(4*S22) +14403*COS(2*S22-3*Q22) -(1-0.002516*M22)*7003*COS(R22-2*Q22)  + (1-0.002516*M22)*10056*COS(2*S22-R22-2*Q22) +6322*COS(S22+Q22) -(1-0.002516*M22)*(1-0.002516*M22)*9884*COS(2*S22-2*R22) +(1-0.002516*M22)*5751*COS(R22+2*Q22) -(1-0.002516*M22)*(1-0.002516*M22)*4950*COS(2*S22-2*R22-Q22)  +4130*COS(2*S22+Q22-2*T22) -(1-0.002516*M22)*3958*COS(4*S22-R22-Q22) +3258*COS(3*S22-Q22) +(1-0.002516*M22)*2616*COS(2*S22+R22+Q22) -(1-0.002516*M22)*1897*COS(4*S22-R22-2*Q22)  -(1-0.002516*M22)*(1-0.002516*M22)*2117*COS(2*R22-Q22) +(1-0.002516*M22)*(1-0.002516*M22)*2354*COS(2*S22+2*R22-Q22) -1423*COS(4*S22+Q22) -1117*COS(4*Q22) -(1-0.002516*M22)*1571*COS(4*S22-R22)  -1739*COS(S22-2*Q22) -4421*COS(2*Q22-2*T22) +(1-0.002516*M22)*(1-0.002516*M22)*1165*COS(2*R22+Q22) +8752*COS(2*S22-Q22-2*T22))/1000</f>
        <v>369739.157628291</v>
      </c>
      <c r="AY22" s="10" t="n">
        <f aca="false">AY21+1/8</f>
        <v>3.5</v>
      </c>
      <c r="AZ22" s="17" t="n">
        <f aca="false">AZ21+1</f>
        <v>21</v>
      </c>
      <c r="BA22" s="32" t="n">
        <f aca="false">ATAN(0.99664719*TAN($A$4*input!$E$2))</f>
        <v>-0.400219206115995</v>
      </c>
      <c r="BB22" s="32" t="n">
        <f aca="false">COS(BA22)</f>
        <v>0.920975608992155</v>
      </c>
      <c r="BC22" s="32" t="n">
        <f aca="false">0.99664719*SIN(BA22)</f>
        <v>-0.388313912533463</v>
      </c>
      <c r="BD22" s="32" t="n">
        <f aca="false">6378.14/AX22</f>
        <v>0.0172503773766156</v>
      </c>
      <c r="BE22" s="33" t="n">
        <f aca="false">MOD(N22-15*AH22,360)</f>
        <v>263.360596249973</v>
      </c>
      <c r="BF22" s="27" t="n">
        <f aca="false">COS($A$4*AG22)*SIN($A$4*BE22)</f>
        <v>-0.885139317882722</v>
      </c>
      <c r="BG22" s="27" t="n">
        <f aca="false">COS($A$4*AG22)*COS($A$4*BE22)-BB22*BD22</f>
        <v>-0.118918221260921</v>
      </c>
      <c r="BH22" s="27" t="n">
        <f aca="false">SIN($A$4*AG22)-BC22*BD22</f>
        <v>-0.447077806095936</v>
      </c>
      <c r="BI22" s="46" t="n">
        <f aca="false">SQRT(BF22^2+BG22^2+BH22^2)</f>
        <v>0.998745072635308</v>
      </c>
      <c r="BJ22" s="35" t="n">
        <f aca="false">AX22*BI22</f>
        <v>369275.161841585</v>
      </c>
    </row>
    <row r="23" customFormat="false" ht="15" hidden="false" customHeight="false" outlineLevel="0" collapsed="false">
      <c r="A23" s="0"/>
      <c r="B23" s="20"/>
      <c r="C23" s="15" t="n">
        <f aca="false">MOD(C22+3,24)</f>
        <v>15</v>
      </c>
      <c r="D23" s="17" t="n">
        <v>3</v>
      </c>
      <c r="E23" s="102" t="n">
        <f aca="false">input!$C$2</f>
        <v>10</v>
      </c>
      <c r="F23" s="102" t="n">
        <f aca="false">input!$D$2</f>
        <v>2022</v>
      </c>
      <c r="G23" s="0"/>
      <c r="H23" s="39" t="n">
        <f aca="false">AM23</f>
        <v>40.9465820978786</v>
      </c>
      <c r="I23" s="48" t="n">
        <f aca="false">H23+1.02/(TAN($A$4*(H23+10.3/(H23+5.11)))*60)</f>
        <v>40.9660214187435</v>
      </c>
      <c r="J23" s="39" t="n">
        <f aca="false">100*(1+COS($A$4*AQ23))/2</f>
        <v>57.1882225964146</v>
      </c>
      <c r="K23" s="48" t="n">
        <f aca="false">IF(AI23&gt;180,AT23-180,AT23+180)</f>
        <v>106.157209007879</v>
      </c>
      <c r="L23" s="10" t="n">
        <f aca="false">L22+1/8</f>
        <v>2459856.125</v>
      </c>
      <c r="M23" s="49" t="n">
        <f aca="false">(L23-2451545)/36525</f>
        <v>0.227546201232033</v>
      </c>
      <c r="N23" s="15" t="n">
        <f aca="false">MOD(280.46061837+360.98564736629*(L23-2451545)+0.000387933*M23^2-M23^3/38710000+$G$4,360)</f>
        <v>237.299105613027</v>
      </c>
      <c r="O23" s="18" t="n">
        <f aca="false">0.60643382+1336.85522467*M23 - 0.00000313*M23^2 - INT(0.60643382+1336.85522467*M23 - 0.00000313*M23^2)</f>
        <v>0.802761628791473</v>
      </c>
      <c r="P23" s="15" t="n">
        <f aca="false">22640*SIN(Q23)-4586*SIN(Q23-2*S23)+2370*SIN(2*S23)+769*SIN(2*Q23)-668*SIN(R23)-412*SIN(2*T23)-212*SIN(2*Q23-2*S23)-206*SIN(Q23+R23-2*S23)+192*SIN(Q23+2*S23)-165*SIN(R23-2*S23)-125*SIN(S23)-110*SIN(Q23+R23)+148*SIN(Q23-R23)-55*SIN(2*T23-2*S23)</f>
        <v>-1659.38243392137</v>
      </c>
      <c r="Q23" s="18" t="n">
        <f aca="false">2*PI()*(0.374897+1325.55241*M23 - INT(0.374897+1325.55241*M23))</f>
        <v>6.27886517410335</v>
      </c>
      <c r="R23" s="26" t="n">
        <f aca="false">2*PI()*(0.99312619+99.99735956*M23 - 0.00000044*M23^2 - INT(0.99312619+99.99735956*M23- 0.00000044*M23^2))</f>
        <v>4.69445342893502</v>
      </c>
      <c r="S23" s="26" t="n">
        <f aca="false">2*PI()*(0.827361+1236.853086*M23 - INT(0.827361+1236.853086*M23))</f>
        <v>1.68755174171229</v>
      </c>
      <c r="T23" s="26" t="n">
        <f aca="false">2*PI()*(0.259086+1342.227825*M23 - INT(0.259086+1342.227825*M23))</f>
        <v>4.25955206614171</v>
      </c>
      <c r="U23" s="26" t="n">
        <f aca="false">T23+(P23+412*SIN(2*T23)+541*SIN(R23))/206264.8062</f>
        <v>4.25045639497609</v>
      </c>
      <c r="V23" s="26" t="n">
        <f aca="false">T23-2*S23</f>
        <v>0.884448582717134</v>
      </c>
      <c r="W23" s="25" t="n">
        <f aca="false">-526*SIN(V23)+44*SIN(Q23+V23)-31*SIN(-Q23+V23)-23*SIN(R23+V23)+11*SIN(-R23+V23)-25*SIN(-2*Q23+T23)+21*SIN(-Q23+T23)</f>
        <v>-371.684253620076</v>
      </c>
      <c r="X23" s="26" t="n">
        <f aca="false">2*PI()*(O23+P23/1296000-INT(O23+P23/1296000))</f>
        <v>5.03585515812855</v>
      </c>
      <c r="Y23" s="26" t="n">
        <f aca="false">(18520*SIN(U23)+W23)/206264.8062</f>
        <v>-0.0821790991850697</v>
      </c>
      <c r="Z23" s="26" t="n">
        <f aca="false">Y23*180/PI()</f>
        <v>-4.70851554749148</v>
      </c>
      <c r="AA23" s="26" t="n">
        <f aca="false">COS(Y23)*COS(X23)</f>
        <v>0.316782185673861</v>
      </c>
      <c r="AB23" s="26" t="n">
        <f aca="false">COS(Y23)*SIN(X23)</f>
        <v>-0.94493959152815</v>
      </c>
      <c r="AC23" s="26" t="n">
        <f aca="false">SIN(Y23)</f>
        <v>-0.0820866322996847</v>
      </c>
      <c r="AD23" s="26" t="n">
        <f aca="false">COS($A$4*(23.4393-46.815*M23/3600))*AB23-SIN($A$4*(23.4393-46.815*M23/3600))*AC23</f>
        <v>-0.834336168415557</v>
      </c>
      <c r="AE23" s="26" t="n">
        <f aca="false">SIN($A$4*(23.4393-46.815*M23/3600))*AB23+COS($A$4*(23.4393-46.815*M23/3600))*AC23</f>
        <v>-0.451145436542739</v>
      </c>
      <c r="AF23" s="26" t="n">
        <f aca="false">SQRT(1-AE23*AE23)</f>
        <v>0.892450444050907</v>
      </c>
      <c r="AG23" s="10" t="n">
        <f aca="false">ATAN(AE23/AF23)/$A$4</f>
        <v>-26.8171977476882</v>
      </c>
      <c r="AH23" s="26" t="n">
        <f aca="false">IF(24*ATAN(AD23/(AA23+AF23))/PI()&gt;0,24*ATAN(AD23/(AA23+AF23))/PI(),24*ATAN(AD23/(AA23+AF23))/PI()+24)</f>
        <v>19.3860569269639</v>
      </c>
      <c r="AI23" s="10" t="n">
        <f aca="false">IF(N23-15*AH23&gt;0,N23-15*AH23,360+N23-15*AH23)</f>
        <v>306.508251708569</v>
      </c>
      <c r="AJ23" s="18" t="n">
        <f aca="false">0.950724+0.051818*COS(Q23)+0.009531*COS(2*S23-Q23)+0.007843*COS(2*S23)+0.002824*COS(2*Q23)+0.000857*COS(2*S23+Q23)+0.000533*COS(2*S23-R23)+0.000401*COS(2*S23-R23-Q23)+0.00032*COS(Q23-R23)-0.000271*COS(S23)</f>
        <v>0.987899238579298</v>
      </c>
      <c r="AK23" s="50" t="n">
        <f aca="false">ASIN(COS($A$4*$G$2)*COS($A$4*AG23)*COS($A$4*AI23)+SIN($A$4*$G$2)*SIN($A$4*AG23))/$A$4</f>
        <v>41.6839778811492</v>
      </c>
      <c r="AL23" s="18" t="n">
        <f aca="false">ASIN((0.9983271+0.0016764*COS($A$4*2*$G$2))*COS($A$4*AK23)*SIN($A$4*AJ23))/$A$4</f>
        <v>0.737395783270684</v>
      </c>
      <c r="AM23" s="18" t="n">
        <f aca="false">AK23-AL23</f>
        <v>40.9465820978786</v>
      </c>
      <c r="AN23" s="10" t="n">
        <f aca="false"> IF(280.4664567 + 360007.6982779*M23/10 + 0.03032028*M23^2/100 + M23^3/49931000&lt;0,MOD(280.4664567 + 360007.6982779*M23/10 + 0.03032028*M23^2/100 + M23^3/49931000+360,360),MOD(280.4664567 + 360007.6982779*M23/10 + 0.03032028*M23^2/100 + M23^3/49931000,360))</f>
        <v>192.304888141649</v>
      </c>
      <c r="AO23" s="27" t="n">
        <f aca="false"> AN23 + (1.9146 - 0.004817*M23 - 0.000014*M23^2)*SIN(R23)+ (0.019993 - 0.000101*M23)*SIN(2*R23)+ 0.00029*SIN(3*R23)</f>
        <v>190.39269849327</v>
      </c>
      <c r="AP23" s="18" t="n">
        <f aca="false">ACOS(COS(X23-$A$4*AO23)*COS(Y23))/$A$4</f>
        <v>98.1128901549032</v>
      </c>
      <c r="AQ23" s="25" t="n">
        <f aca="false">180 - AP23 -0.1468*(1-0.0549*SIN(R23))*SIN($A$4*AP23)/(1-0.0167*SIN($A$4*AO23))</f>
        <v>81.7342621162425</v>
      </c>
      <c r="AR23" s="25" t="n">
        <f aca="false">SIN($A$4*AI23)</f>
        <v>-0.803771186210383</v>
      </c>
      <c r="AS23" s="25" t="n">
        <f aca="false">COS($A$4*AI23)*SIN($A$4*$G$2) - TAN($A$4*AG23)*COS($A$4*$G$2)</f>
        <v>0.232866297792252</v>
      </c>
      <c r="AT23" s="25" t="n">
        <f aca="false">IF(OR(AND(AR23*AS23&gt;0), AND(AR23&lt;0,AS23&gt;0)), MOD(ATAN2(AS23,AR23)/$A$4+360,360),  ATAN2(AS23,AR23)/$A$4)</f>
        <v>286.157209007879</v>
      </c>
      <c r="AU23" s="29" t="n">
        <f aca="false">(1+SIN($A$4*H23)*SIN($A$4*AJ23))*120*ASIN(0.272481*SIN($A$4*AJ23))/$A$4</f>
        <v>32.6655395264509</v>
      </c>
      <c r="AV23" s="10" t="n">
        <f aca="false">COS(X23)</f>
        <v>0.317854883047151</v>
      </c>
      <c r="AW23" s="10" t="n">
        <f aca="false">SIN(X23)</f>
        <v>-0.948139374418699</v>
      </c>
      <c r="AX23" s="30" t="n">
        <f aca="false"> 385000.56 + (-20905355*COS(Q23) - 3699111*COS(2*S23-Q23) - 2955968*COS(2*S23) - 569925*COS(2*Q23) + (1-0.002516*M23)*48888*COS(R23) - 3149*COS(2*T23)  +246158*COS(2*S23-2*Q23) -(1-0.002516*M23)*152138*COS(2*S23-R23-Q23) -170733*COS(2*S23+Q23) -(1-0.002516*M23)*204586*COS(2*S23-R23) -(1-0.002516*M23)*129620*COS(R23-Q23)  + 108743*COS(S23) +(1-0.002516*M23)*104755*COS(R23+Q23) +10321*COS(2*S23-2*T23) +79661*COS(Q23-2*T23) -34782*COS(4*S23-Q23) -23210*COS(3*Q23)  -21636*COS(4*S23-2*Q23) +(1-0.002516*M23)*24208*COS(2*S23+R23-Q23) +(1-0.002516*M23)*30824*COS(2*S23+R23) -8379*COS(S23-Q23) -(1-0.002516*M23)*16675*COS(S23+R23)  -(1-0.002516*M23)*12831*COS(2*S23-R23+Q23) -10445*COS(2*S23+2*Q23) -11650*COS(4*S23) +14403*COS(2*S23-3*Q23) -(1-0.002516*M23)*7003*COS(R23-2*Q23)  + (1-0.002516*M23)*10056*COS(2*S23-R23-2*Q23) +6322*COS(S23+Q23) -(1-0.002516*M23)*(1-0.002516*M23)*9884*COS(2*S23-2*R23) +(1-0.002516*M23)*5751*COS(R23+2*Q23) -(1-0.002516*M23)*(1-0.002516*M23)*4950*COS(2*S23-2*R23-Q23)  +4130*COS(2*S23+Q23-2*T23) -(1-0.002516*M23)*3958*COS(4*S23-R23-Q23) +3258*COS(3*S23-Q23) +(1-0.002516*M23)*2616*COS(2*S23+R23+Q23) -(1-0.002516*M23)*1897*COS(4*S23-R23-2*Q23)  -(1-0.002516*M23)*(1-0.002516*M23)*2117*COS(2*R23-Q23) +(1-0.002516*M23)*(1-0.002516*M23)*2354*COS(2*S23+2*R23-Q23) -1423*COS(4*S23+Q23) -1117*COS(4*Q23) -(1-0.002516*M23)*1571*COS(4*S23-R23)  -1739*COS(S23-2*Q23) -4421*COS(2*Q23-2*T23) +(1-0.002516*M23)*(1-0.002516*M23)*1165*COS(2*R23+Q23) +8752*COS(2*S23-Q23-2*T23))/1000</f>
        <v>369659.492995723</v>
      </c>
      <c r="AY23" s="10" t="n">
        <f aca="false">AY22+1/8</f>
        <v>3.625</v>
      </c>
      <c r="AZ23" s="17" t="n">
        <f aca="false">AZ22+1</f>
        <v>22</v>
      </c>
      <c r="BA23" s="32" t="n">
        <f aca="false">ATAN(0.99664719*TAN($A$4*input!$E$2))</f>
        <v>-0.400219206115995</v>
      </c>
      <c r="BB23" s="32" t="n">
        <f aca="false">COS(BA23)</f>
        <v>0.920975608992155</v>
      </c>
      <c r="BC23" s="32" t="n">
        <f aca="false">0.99664719*SIN(BA23)</f>
        <v>-0.388313912533463</v>
      </c>
      <c r="BD23" s="32" t="n">
        <f aca="false">6378.14/AX23</f>
        <v>0.017254094973489</v>
      </c>
      <c r="BE23" s="33" t="n">
        <f aca="false">MOD(N23-15*AH23,360)</f>
        <v>306.508251708569</v>
      </c>
      <c r="BF23" s="27" t="n">
        <f aca="false">COS($A$4*AG23)*SIN($A$4*BE23)</f>
        <v>-0.717325952048781</v>
      </c>
      <c r="BG23" s="27" t="n">
        <f aca="false">COS($A$4*AG23)*COS($A$4*BE23)-BB23*BD23</f>
        <v>0.515062573961143</v>
      </c>
      <c r="BH23" s="27" t="n">
        <f aca="false">SIN($A$4*AG23)-BC23*BD23</f>
        <v>-0.44444543141636</v>
      </c>
      <c r="BI23" s="46" t="n">
        <f aca="false">SQRT(BF23^2+BG23^2+BH23^2)</f>
        <v>0.988624154107638</v>
      </c>
      <c r="BJ23" s="35" t="n">
        <f aca="false">AX23*BI23</f>
        <v>365454.303570754</v>
      </c>
    </row>
    <row r="24" customFormat="false" ht="15" hidden="false" customHeight="false" outlineLevel="0" collapsed="false">
      <c r="A24" s="0"/>
      <c r="B24" s="20"/>
      <c r="C24" s="15" t="n">
        <f aca="false">MOD(C23+3,24)</f>
        <v>18</v>
      </c>
      <c r="D24" s="17" t="n">
        <v>3</v>
      </c>
      <c r="E24" s="102" t="n">
        <f aca="false">input!$C$2</f>
        <v>10</v>
      </c>
      <c r="F24" s="102" t="n">
        <f aca="false">input!$D$2</f>
        <v>2022</v>
      </c>
      <c r="G24" s="0"/>
      <c r="H24" s="39" t="n">
        <f aca="false">AM24</f>
        <v>79.7734588476891</v>
      </c>
      <c r="I24" s="48" t="n">
        <f aca="false">H24+1.02/(TAN($A$4*(H24+10.3/(H24+5.11)))*60)</f>
        <v>79.7764886002362</v>
      </c>
      <c r="J24" s="39" t="n">
        <f aca="false">100*(1+COS($A$4*AQ24))/2</f>
        <v>58.6057294014216</v>
      </c>
      <c r="K24" s="48" t="n">
        <f aca="false">IF(AI24&gt;180,AT24-180,AT24+180)</f>
        <v>113.21749658292</v>
      </c>
      <c r="L24" s="10" t="n">
        <f aca="false">L23+1/8</f>
        <v>2459856.25</v>
      </c>
      <c r="M24" s="49" t="n">
        <f aca="false">(L24-2451545)/36525</f>
        <v>0.227549623545517</v>
      </c>
      <c r="N24" s="15" t="n">
        <f aca="false">MOD(280.46061837+360.98564736629*(L24-2451545)+0.000387933*M24^2-M24^3/38710000+$G$4,360)</f>
        <v>282.422311534174</v>
      </c>
      <c r="O24" s="18" t="n">
        <f aca="false">0.60643382+1336.85522467*M24 - 0.00000313*M24^2 - INT(0.60643382+1336.85522467*M24 - 0.00000313*M24^2)</f>
        <v>0.807336766448032</v>
      </c>
      <c r="P24" s="15" t="n">
        <f aca="false">22640*SIN(Q24)-4586*SIN(Q24-2*S24)+2370*SIN(2*S24)+769*SIN(2*Q24)-668*SIN(R24)-412*SIN(2*T24)-212*SIN(2*Q24-2*S24)-206*SIN(Q24+R24-2*S24)+192*SIN(Q24+2*S24)-165*SIN(R24-2*S24)-125*SIN(S24)-110*SIN(Q24+R24)+148*SIN(Q24-R24)-55*SIN(2*T24-2*S24)</f>
        <v>-1197.12255171091</v>
      </c>
      <c r="Q24" s="18" t="n">
        <f aca="false">2*PI()*(0.374897+1325.55241*M24 - INT(0.374897+1325.55241*M24))</f>
        <v>0.0241832598959154</v>
      </c>
      <c r="R24" s="26" t="n">
        <f aca="false">2*PI()*(0.99312619+99.99735956*M24 - 0.00000044*M24^2 - INT(0.99312619+99.99735956*M24- 0.00000044*M24^2))</f>
        <v>4.69660367513314</v>
      </c>
      <c r="S24" s="26" t="n">
        <f aca="false">2*PI()*(0.827361+1236.853086*M24 - INT(0.827361+1236.853086*M24))</f>
        <v>1.71414783047721</v>
      </c>
      <c r="T24" s="26" t="n">
        <f aca="false">2*PI()*(0.259086+1342.227825*M24 - INT(0.259086+1342.227825*M24))</f>
        <v>4.28841403105947</v>
      </c>
      <c r="U24" s="26" t="n">
        <f aca="false">T24+(P24+412*SIN(2*T24)+541*SIN(R24))/206264.8062</f>
        <v>4.28148562795551</v>
      </c>
      <c r="V24" s="26" t="n">
        <f aca="false">T24-2*S24</f>
        <v>0.860118370105049</v>
      </c>
      <c r="W24" s="25" t="n">
        <f aca="false">-526*SIN(V24)+44*SIN(Q24+V24)-31*SIN(-Q24+V24)-23*SIN(R24+V24)+11*SIN(-R24+V24)-25*SIN(-2*Q24+T24)+21*SIN(-Q24+T24)</f>
        <v>-361.975577134859</v>
      </c>
      <c r="X24" s="26" t="n">
        <f aca="false">2*PI()*(O24+P24/1296000-INT(O24+P24/1296000))</f>
        <v>5.06684269498181</v>
      </c>
      <c r="Y24" s="26" t="n">
        <f aca="false">(18520*SIN(U24)+W24)/206264.8062</f>
        <v>-0.0833348181169291</v>
      </c>
      <c r="Z24" s="26" t="n">
        <f aca="false">Y24*180/PI()</f>
        <v>-4.77473336459039</v>
      </c>
      <c r="AA24" s="26" t="n">
        <f aca="false">COS(Y24)*COS(X24)</f>
        <v>0.345873612904044</v>
      </c>
      <c r="AB24" s="26" t="n">
        <f aca="false">COS(Y24)*SIN(X24)</f>
        <v>-0.934581624769146</v>
      </c>
      <c r="AC24" s="26" t="n">
        <f aca="false">SIN(Y24)</f>
        <v>-0.0832383958312985</v>
      </c>
      <c r="AD24" s="26" t="n">
        <f aca="false">COS($A$4*(23.4393-46.815*M24/3600))*AB24-SIN($A$4*(23.4393-46.815*M24/3600))*AC24</f>
        <v>-0.824374617117459</v>
      </c>
      <c r="AE24" s="26" t="n">
        <f aca="false">SIN($A$4*(23.4393-46.815*M24/3600))*AB24+COS($A$4*(23.4393-46.815*M24/3600))*AC24</f>
        <v>-0.448082508640035</v>
      </c>
      <c r="AF24" s="26" t="n">
        <f aca="false">SQRT(1-AE24*AE24)</f>
        <v>0.893992206594024</v>
      </c>
      <c r="AG24" s="10" t="n">
        <f aca="false">ATAN(AE24/AF24)/$A$4</f>
        <v>-26.6207260952091</v>
      </c>
      <c r="AH24" s="26" t="n">
        <f aca="false">IF(24*ATAN(AD24/(AA24+AF24))/PI()&gt;0,24*ATAN(AD24/(AA24+AF24))/PI(),24*ATAN(AD24/(AA24+AF24))/PI()+24)</f>
        <v>19.5173942181578</v>
      </c>
      <c r="AI24" s="10" t="n">
        <f aca="false">IF(N24-15*AH24&gt;0,N24-15*AH24,360+N24-15*AH24)</f>
        <v>349.661398261807</v>
      </c>
      <c r="AJ24" s="18" t="n">
        <f aca="false">0.950724+0.051818*COS(Q24)+0.009531*COS(2*S24-Q24)+0.007843*COS(2*S24)+0.002824*COS(2*Q24)+0.000857*COS(2*S24+Q24)+0.000533*COS(2*S24-R24)+0.000401*COS(2*S24-R24-Q24)+0.00032*COS(Q24-R24)-0.000271*COS(S24)</f>
        <v>0.988099181153263</v>
      </c>
      <c r="AK24" s="50" t="n">
        <f aca="false">ASIN(COS($A$4*$G$2)*COS($A$4*AG24)*COS($A$4*AI24)+SIN($A$4*$G$2)*SIN($A$4*AG24))/$A$4</f>
        <v>79.9458638381435</v>
      </c>
      <c r="AL24" s="18" t="n">
        <f aca="false">ASIN((0.9983271+0.0016764*COS($A$4*2*$G$2))*COS($A$4*AK24)*SIN($A$4*AJ24))/$A$4</f>
        <v>0.172404990454466</v>
      </c>
      <c r="AM24" s="18" t="n">
        <f aca="false">AK24-AL24</f>
        <v>79.7734588476891</v>
      </c>
      <c r="AN24" s="10" t="n">
        <f aca="false"> IF(280.4664567 + 360007.6982779*M24/10 + 0.03032028*M24^2/100 + M24^3/49931000&lt;0,MOD(280.4664567 + 360007.6982779*M24/10 + 0.03032028*M24^2/100 + M24^3/49931000+360,360),MOD(280.4664567 + 360007.6982779*M24/10 + 0.03032028*M24^2/100 + M24^3/49931000,360))</f>
        <v>192.428094062136</v>
      </c>
      <c r="AO24" s="27" t="n">
        <f aca="false"> AN24 + (1.9146 - 0.004817*M24 - 0.000014*M24^2)*SIN(R24)+ (0.019993 - 0.000101*M24)*SIN(2*R24)+ 0.00029*SIN(3*R24)</f>
        <v>190.51574932383</v>
      </c>
      <c r="AP24" s="18" t="n">
        <f aca="false">ACOS(COS(X24-$A$4*AO24)*COS(Y24))/$A$4</f>
        <v>99.7586346317324</v>
      </c>
      <c r="AQ24" s="25" t="n">
        <f aca="false">180 - AP24 -0.1468*(1-0.0549*SIN(R24))*SIN($A$4*AP24)/(1-0.0167*SIN($A$4*AO24))</f>
        <v>80.0892115122854</v>
      </c>
      <c r="AR24" s="25" t="n">
        <f aca="false">SIN($A$4*AI24)</f>
        <v>-0.179465044822774</v>
      </c>
      <c r="AS24" s="25" t="n">
        <f aca="false">COS($A$4*AI24)*SIN($A$4*$G$2) - TAN($A$4*AG24)*COS($A$4*$G$2)</f>
        <v>0.0769836960969038</v>
      </c>
      <c r="AT24" s="25" t="n">
        <f aca="false">IF(OR(AND(AR24*AS24&gt;0), AND(AR24&lt;0,AS24&gt;0)), MOD(ATAN2(AS24,AR24)/$A$4+360,360),  ATAN2(AS24,AR24)/$A$4)</f>
        <v>293.21749658292</v>
      </c>
      <c r="AU24" s="29" t="n">
        <f aca="false">(1+SIN($A$4*H24)*SIN($A$4*AJ24))*120*ASIN(0.272481*SIN($A$4*AJ24))/$A$4</f>
        <v>32.8553842911558</v>
      </c>
      <c r="AV24" s="10" t="n">
        <f aca="false">COS(X24)</f>
        <v>0.347078090806052</v>
      </c>
      <c r="AW24" s="10" t="n">
        <f aca="false">SIN(X24)</f>
        <v>-0.937836232442758</v>
      </c>
      <c r="AX24" s="30" t="n">
        <f aca="false"> 385000.56 + (-20905355*COS(Q24) - 3699111*COS(2*S24-Q24) - 2955968*COS(2*S24) - 569925*COS(2*Q24) + (1-0.002516*M24)*48888*COS(R24) - 3149*COS(2*T24)  +246158*COS(2*S24-2*Q24) -(1-0.002516*M24)*152138*COS(2*S24-R24-Q24) -170733*COS(2*S24+Q24) -(1-0.002516*M24)*204586*COS(2*S24-R24) -(1-0.002516*M24)*129620*COS(R24-Q24)  + 108743*COS(S24) +(1-0.002516*M24)*104755*COS(R24+Q24) +10321*COS(2*S24-2*T24) +79661*COS(Q24-2*T24) -34782*COS(4*S24-Q24) -23210*COS(3*Q24)  -21636*COS(4*S24-2*Q24) +(1-0.002516*M24)*24208*COS(2*S24+R24-Q24) +(1-0.002516*M24)*30824*COS(2*S24+R24) -8379*COS(S24-Q24) -(1-0.002516*M24)*16675*COS(S24+R24)  -(1-0.002516*M24)*12831*COS(2*S24-R24+Q24) -10445*COS(2*S24+2*Q24) -11650*COS(4*S24) +14403*COS(2*S24-3*Q24) -(1-0.002516*M24)*7003*COS(R24-2*Q24)  + (1-0.002516*M24)*10056*COS(2*S24-R24-2*Q24) +6322*COS(S24+Q24) -(1-0.002516*M24)*(1-0.002516*M24)*9884*COS(2*S24-2*R24) +(1-0.002516*M24)*5751*COS(R24+2*Q24) -(1-0.002516*M24)*(1-0.002516*M24)*4950*COS(2*S24-2*R24-Q24)  +4130*COS(2*S24+Q24-2*T24) -(1-0.002516*M24)*3958*COS(4*S24-R24-Q24) +3258*COS(3*S24-Q24) +(1-0.002516*M24)*2616*COS(2*S24+R24+Q24) -(1-0.002516*M24)*1897*COS(4*S24-R24-2*Q24)  -(1-0.002516*M24)*(1-0.002516*M24)*2117*COS(2*R24-Q24) +(1-0.002516*M24)*(1-0.002516*M24)*2354*COS(2*S24+2*R24-Q24) -1423*COS(4*S24+Q24) -1117*COS(4*Q24) -(1-0.002516*M24)*1571*COS(4*S24-R24)  -1739*COS(S24-2*Q24) -4421*COS(2*Q24-2*T24) +(1-0.002516*M24)*(1-0.002516*M24)*1165*COS(2*R24+Q24) +8752*COS(2*S24-Q24-2*T24))/1000</f>
        <v>369587.937641946</v>
      </c>
      <c r="AY24" s="10" t="n">
        <f aca="false">AY23+1/8</f>
        <v>3.75</v>
      </c>
      <c r="AZ24" s="17" t="n">
        <f aca="false">AZ23+1</f>
        <v>23</v>
      </c>
      <c r="BA24" s="32" t="n">
        <f aca="false">ATAN(0.99664719*TAN($A$4*input!$E$2))</f>
        <v>-0.400219206115995</v>
      </c>
      <c r="BB24" s="32" t="n">
        <f aca="false">COS(BA24)</f>
        <v>0.920975608992155</v>
      </c>
      <c r="BC24" s="32" t="n">
        <f aca="false">0.99664719*SIN(BA24)</f>
        <v>-0.388313912533463</v>
      </c>
      <c r="BD24" s="32" t="n">
        <f aca="false">6378.14/AX24</f>
        <v>0.0172574355123546</v>
      </c>
      <c r="BE24" s="33" t="n">
        <f aca="false">MOD(N24-15*AH24,360)</f>
        <v>349.661398261807</v>
      </c>
      <c r="BF24" s="27" t="n">
        <f aca="false">COS($A$4*AG24)*SIN($A$4*BE24)</f>
        <v>-0.160440351427607</v>
      </c>
      <c r="BG24" s="27" t="n">
        <f aca="false">COS($A$4*AG24)*COS($A$4*BE24)-BB24*BD24</f>
        <v>0.863583985460458</v>
      </c>
      <c r="BH24" s="27" t="n">
        <f aca="false">SIN($A$4*AG24)-BC24*BD24</f>
        <v>-0.441381206335939</v>
      </c>
      <c r="BI24" s="46" t="n">
        <f aca="false">SQRT(BF24^2+BG24^2+BH24^2)</f>
        <v>0.983023791989061</v>
      </c>
      <c r="BJ24" s="35" t="n">
        <f aca="false">AX24*BI24</f>
        <v>363313.735934202</v>
      </c>
    </row>
    <row r="25" customFormat="false" ht="15" hidden="false" customHeight="false" outlineLevel="0" collapsed="false">
      <c r="A25" s="0"/>
      <c r="B25" s="20"/>
      <c r="C25" s="15" t="n">
        <f aca="false">MOD(C24+3,24)</f>
        <v>21</v>
      </c>
      <c r="D25" s="17" t="n">
        <v>3</v>
      </c>
      <c r="E25" s="102" t="n">
        <f aca="false">input!$C$2</f>
        <v>10</v>
      </c>
      <c r="F25" s="102" t="n">
        <f aca="false">input!$D$2</f>
        <v>2022</v>
      </c>
      <c r="G25" s="0"/>
      <c r="H25" s="39" t="n">
        <f aca="false">AM25</f>
        <v>59.5756117165828</v>
      </c>
      <c r="I25" s="48" t="n">
        <f aca="false">H25+1.02/(TAN($A$4*(H25+10.3/(H25+5.11)))*60)</f>
        <v>59.5855318509948</v>
      </c>
      <c r="J25" s="39" t="n">
        <f aca="false">100*(1+COS($A$4*AQ25))/2</f>
        <v>60.0166672394353</v>
      </c>
      <c r="K25" s="48" t="n">
        <f aca="false">IF(AI25&gt;180,AT25-180,AT25+180)</f>
        <v>256.660003337023</v>
      </c>
      <c r="L25" s="10" t="n">
        <f aca="false">L24+1/8</f>
        <v>2459856.375</v>
      </c>
      <c r="M25" s="49" t="n">
        <f aca="false">(L25-2451545)/36525</f>
        <v>0.227553045859001</v>
      </c>
      <c r="N25" s="15" t="n">
        <f aca="false">MOD(280.46061837+360.98564736629*(L25-2451545)+0.000387933*M25^2-M25^3/38710000+$G$4,360)</f>
        <v>327.545517455321</v>
      </c>
      <c r="O25" s="18" t="n">
        <f aca="false">0.60643382+1336.85522467*M25 - 0.00000313*M25^2 - INT(0.60643382+1336.85522467*M25 - 0.00000313*M25^2)</f>
        <v>0.811911904104591</v>
      </c>
      <c r="P25" s="15" t="n">
        <f aca="false">22640*SIN(Q25)-4586*SIN(Q25-2*S25)+2370*SIN(2*S25)+769*SIN(2*Q25)-668*SIN(R25)-412*SIN(2*T25)-212*SIN(2*Q25-2*S25)-206*SIN(Q25+R25-2*S25)+192*SIN(Q25+2*S25)-165*SIN(R25-2*S25)-125*SIN(S25)-110*SIN(Q25+R25)+148*SIN(Q25-R25)-55*SIN(2*T25-2*S25)</f>
        <v>-730.996997558105</v>
      </c>
      <c r="Q25" s="18" t="n">
        <f aca="false">2*PI()*(0.374897+1325.55241*M25 - INT(0.374897+1325.55241*M25))</f>
        <v>0.0526866528677141</v>
      </c>
      <c r="R25" s="26" t="n">
        <f aca="false">2*PI()*(0.99312619+99.99735956*M25 - 0.00000044*M25^2 - INT(0.99312619+99.99735956*M25- 0.00000044*M25^2))</f>
        <v>4.69875392133122</v>
      </c>
      <c r="S25" s="26" t="n">
        <f aca="false">2*PI()*(0.827361+1236.853086*M25 - INT(0.827361+1236.853086*M25))</f>
        <v>1.74074391924213</v>
      </c>
      <c r="T25" s="26" t="n">
        <f aca="false">2*PI()*(0.259086+1342.227825*M25 - INT(0.259086+1342.227825*M25))</f>
        <v>4.31727599597723</v>
      </c>
      <c r="U25" s="26" t="n">
        <f aca="false">T25+(P25+412*SIN(2*T25)+541*SIN(R25))/206264.8062</f>
        <v>4.31252862458485</v>
      </c>
      <c r="V25" s="26" t="n">
        <f aca="false">T25-2*S25</f>
        <v>0.835788157492963</v>
      </c>
      <c r="W25" s="25" t="n">
        <f aca="false">-526*SIN(V25)+44*SIN(Q25+V25)-31*SIN(-Q25+V25)-23*SIN(R25+V25)+11*SIN(-R25+V25)-25*SIN(-2*Q25+T25)+21*SIN(-Q25+T25)</f>
        <v>-351.997410344191</v>
      </c>
      <c r="X25" s="26" t="n">
        <f aca="false">2*PI()*(O25+P25/1296000-INT(O25+P25/1296000))</f>
        <v>5.0978489731415</v>
      </c>
      <c r="Y25" s="26" t="n">
        <f aca="false">(18520*SIN(U25)+W25)/206264.8062</f>
        <v>-0.0844111716950465</v>
      </c>
      <c r="Z25" s="26" t="n">
        <f aca="false">Y25*180/PI()</f>
        <v>-4.83640388188032</v>
      </c>
      <c r="AA25" s="26" t="n">
        <f aca="false">COS(Y25)*COS(X25)</f>
        <v>0.374646718450129</v>
      </c>
      <c r="AB25" s="26" t="n">
        <f aca="false">COS(Y25)*SIN(X25)</f>
        <v>-0.923326322283423</v>
      </c>
      <c r="AC25" s="26" t="n">
        <f aca="false">SIN(Y25)</f>
        <v>-0.0843109656753994</v>
      </c>
      <c r="AD25" s="26" t="n">
        <f aca="false">COS($A$4*(23.4393-46.815*M25/3600))*AB25-SIN($A$4*(23.4393-46.815*M25/3600))*AC25</f>
        <v>-0.813621255701829</v>
      </c>
      <c r="AE25" s="26" t="n">
        <f aca="false">SIN($A$4*(23.4393-46.815*M25/3600))*AB25+COS($A$4*(23.4393-46.815*M25/3600))*AC25</f>
        <v>-0.44459002308276</v>
      </c>
      <c r="AF25" s="26" t="n">
        <f aca="false">SQRT(1-AE25*AE25)</f>
        <v>0.895734174504507</v>
      </c>
      <c r="AG25" s="10" t="n">
        <f aca="false">ATAN(AE25/AF25)/$A$4</f>
        <v>-26.397111546575</v>
      </c>
      <c r="AH25" s="26" t="n">
        <f aca="false">IF(24*ATAN(AD25/(AA25+AF25))/PI()&gt;0,24*ATAN(AD25/(AA25+AF25))/PI(),24*ATAN(AD25/(AA25+AF25))/PI()+24)</f>
        <v>19.648304490763</v>
      </c>
      <c r="AI25" s="10" t="n">
        <f aca="false">IF(N25-15*AH25&gt;0,N25-15*AH25,360+N25-15*AH25)</f>
        <v>32.8209500938752</v>
      </c>
      <c r="AJ25" s="18" t="n">
        <f aca="false">0.950724+0.051818*COS(Q25)+0.009531*COS(2*S25-Q25)+0.007843*COS(2*S25)+0.002824*COS(2*Q25)+0.000857*COS(2*S25+Q25)+0.000533*COS(2*S25-R25)+0.000401*COS(2*S25-R25-Q25)+0.00032*COS(Q25-R25)-0.000271*COS(S25)</f>
        <v>0.988279720439068</v>
      </c>
      <c r="AK25" s="50" t="n">
        <f aca="false">ASIN(COS($A$4*$G$2)*COS($A$4*AG25)*COS($A$4*AI25)+SIN($A$4*$G$2)*SIN($A$4*AG25))/$A$4</f>
        <v>60.0684595369559</v>
      </c>
      <c r="AL25" s="18" t="n">
        <f aca="false">ASIN((0.9983271+0.0016764*COS($A$4*2*$G$2))*COS($A$4*AK25)*SIN($A$4*AJ25))/$A$4</f>
        <v>0.492847820373152</v>
      </c>
      <c r="AM25" s="18" t="n">
        <f aca="false">AK25-AL25</f>
        <v>59.5756117165828</v>
      </c>
      <c r="AN25" s="10" t="n">
        <f aca="false"> IF(280.4664567 + 360007.6982779*M25/10 + 0.03032028*M25^2/100 + M25^3/49931000&lt;0,MOD(280.4664567 + 360007.6982779*M25/10 + 0.03032028*M25^2/100 + M25^3/49931000+360,360),MOD(280.4664567 + 360007.6982779*M25/10 + 0.03032028*M25^2/100 + M25^3/49931000,360))</f>
        <v>192.551299982622</v>
      </c>
      <c r="AO25" s="27" t="n">
        <f aca="false"> AN25 + (1.9146 - 0.004817*M25 - 0.000014*M25^2)*SIN(R25)+ (0.019993 - 0.000101*M25)*SIN(2*R25)+ 0.00029*SIN(3*R25)</f>
        <v>190.638808976772</v>
      </c>
      <c r="AP25" s="18" t="n">
        <f aca="false">ACOS(COS(X25-$A$4*AO25)*COS(Y25))/$A$4</f>
        <v>101.40511872097</v>
      </c>
      <c r="AQ25" s="25" t="n">
        <f aca="false">180 - AP25 -0.1468*(1-0.0549*SIN(R25))*SIN($A$4*AP25)/(1-0.0167*SIN($A$4*AO25))</f>
        <v>78.4435471999851</v>
      </c>
      <c r="AR25" s="25" t="n">
        <f aca="false">SIN($A$4*AI25)</f>
        <v>0.542015525658641</v>
      </c>
      <c r="AS25" s="25" t="n">
        <f aca="false">COS($A$4*AI25)*SIN($A$4*$G$2) - TAN($A$4*AG25)*COS($A$4*$G$2)</f>
        <v>0.128526616762129</v>
      </c>
      <c r="AT25" s="25" t="n">
        <f aca="false">IF(OR(AND(AR25*AS25&gt;0), AND(AR25&lt;0,AS25&gt;0)), MOD(ATAN2(AS25,AR25)/$A$4+360,360),  ATAN2(AS25,AR25)/$A$4)</f>
        <v>76.6600033370234</v>
      </c>
      <c r="AU25" s="29" t="n">
        <f aca="false">(1+SIN($A$4*H25)*SIN($A$4*AJ25))*120*ASIN(0.272481*SIN($A$4*AJ25))/$A$4</f>
        <v>32.7935956363803</v>
      </c>
      <c r="AV25" s="10" t="n">
        <f aca="false">COS(X25)</f>
        <v>0.375985417565618</v>
      </c>
      <c r="AW25" s="10" t="n">
        <f aca="false">SIN(X25)</f>
        <v>-0.926625580144434</v>
      </c>
      <c r="AX25" s="30" t="n">
        <f aca="false"> 385000.56 + (-20905355*COS(Q25) - 3699111*COS(2*S25-Q25) - 2955968*COS(2*S25) - 569925*COS(2*Q25) + (1-0.002516*M25)*48888*COS(R25) - 3149*COS(2*T25)  +246158*COS(2*S25-2*Q25) -(1-0.002516*M25)*152138*COS(2*S25-R25-Q25) -170733*COS(2*S25+Q25) -(1-0.002516*M25)*204586*COS(2*S25-R25) -(1-0.002516*M25)*129620*COS(R25-Q25)  + 108743*COS(S25) +(1-0.002516*M25)*104755*COS(R25+Q25) +10321*COS(2*S25-2*T25) +79661*COS(Q25-2*T25) -34782*COS(4*S25-Q25) -23210*COS(3*Q25)  -21636*COS(4*S25-2*Q25) +(1-0.002516*M25)*24208*COS(2*S25+R25-Q25) +(1-0.002516*M25)*30824*COS(2*S25+R25) -8379*COS(S25-Q25) -(1-0.002516*M25)*16675*COS(S25+R25)  -(1-0.002516*M25)*12831*COS(2*S25-R25+Q25) -10445*COS(2*S25+2*Q25) -11650*COS(4*S25) +14403*COS(2*S25-3*Q25) -(1-0.002516*M25)*7003*COS(R25-2*Q25)  + (1-0.002516*M25)*10056*COS(2*S25-R25-2*Q25) +6322*COS(S25+Q25) -(1-0.002516*M25)*(1-0.002516*M25)*9884*COS(2*S25-2*R25) +(1-0.002516*M25)*5751*COS(R25+2*Q25) -(1-0.002516*M25)*(1-0.002516*M25)*4950*COS(2*S25-2*R25-Q25)  +4130*COS(2*S25+Q25-2*T25) -(1-0.002516*M25)*3958*COS(4*S25-R25-Q25) +3258*COS(3*S25-Q25) +(1-0.002516*M25)*2616*COS(2*S25+R25+Q25) -(1-0.002516*M25)*1897*COS(4*S25-R25-2*Q25)  -(1-0.002516*M25)*(1-0.002516*M25)*2117*COS(2*R25-Q25) +(1-0.002516*M25)*(1-0.002516*M25)*2354*COS(2*S25+2*R25-Q25) -1423*COS(4*S25+Q25) -1117*COS(4*Q25) -(1-0.002516*M25)*1571*COS(4*S25-R25)  -1739*COS(S25-2*Q25) -4421*COS(2*Q25-2*T25) +(1-0.002516*M25)*(1-0.002516*M25)*1165*COS(2*R25+Q25) +8752*COS(2*S25-Q25-2*T25))/1000</f>
        <v>369524.656406031</v>
      </c>
      <c r="AY25" s="10" t="n">
        <f aca="false">AY24+1/8</f>
        <v>3.875</v>
      </c>
      <c r="AZ25" s="17" t="n">
        <f aca="false">AZ24+1</f>
        <v>24</v>
      </c>
      <c r="BA25" s="32" t="n">
        <f aca="false">ATAN(0.99664719*TAN($A$4*input!$E$2))</f>
        <v>-0.400219206115995</v>
      </c>
      <c r="BB25" s="32" t="n">
        <f aca="false">COS(BA25)</f>
        <v>0.920975608992155</v>
      </c>
      <c r="BC25" s="32" t="n">
        <f aca="false">0.99664719*SIN(BA25)</f>
        <v>-0.388313912533463</v>
      </c>
      <c r="BD25" s="32" t="n">
        <f aca="false">6378.14/AX25</f>
        <v>0.0172603908546545</v>
      </c>
      <c r="BE25" s="33" t="n">
        <f aca="false">MOD(N25-15*AH25,360)</f>
        <v>32.8209500938752</v>
      </c>
      <c r="BF25" s="27" t="n">
        <f aca="false">COS($A$4*AG25)*SIN($A$4*BE25)</f>
        <v>0.485501829444469</v>
      </c>
      <c r="BG25" s="27" t="n">
        <f aca="false">COS($A$4*AG25)*COS($A$4*BE25)-BB25*BD25</f>
        <v>0.736850361214383</v>
      </c>
      <c r="BH25" s="27" t="n">
        <f aca="false">SIN($A$4*AG25)-BC25*BD25</f>
        <v>-0.437887573178132</v>
      </c>
      <c r="BI25" s="46" t="n">
        <f aca="false">SQRT(BF25^2+BG25^2+BH25^2)</f>
        <v>0.985091877927905</v>
      </c>
      <c r="BJ25" s="35" t="n">
        <f aca="false">AX25*BI25</f>
        <v>364015.737719681</v>
      </c>
    </row>
    <row r="26" customFormat="false" ht="15" hidden="false" customHeight="false" outlineLevel="0" collapsed="false">
      <c r="A26" s="0"/>
      <c r="B26" s="20"/>
      <c r="C26" s="15" t="n">
        <f aca="false">MOD(C25+3,24)</f>
        <v>0</v>
      </c>
      <c r="D26" s="36" t="n">
        <v>4</v>
      </c>
      <c r="E26" s="102" t="n">
        <f aca="false">input!$C$2</f>
        <v>10</v>
      </c>
      <c r="F26" s="102" t="n">
        <f aca="false">input!$D$2</f>
        <v>2022</v>
      </c>
      <c r="H26" s="39" t="n">
        <f aca="false">AM26</f>
        <v>20.9379486911147</v>
      </c>
      <c r="I26" s="48" t="n">
        <f aca="false">H26+1.02/(TAN($A$4*(H26+10.3/(H26+5.11)))*60)</f>
        <v>20.9814765051239</v>
      </c>
      <c r="J26" s="39" t="n">
        <f aca="false">100*(1+COS($A$4*AQ26))/2</f>
        <v>61.4198249218845</v>
      </c>
      <c r="K26" s="48" t="n">
        <f aca="false">IF(AI26&gt;180,AT26-180,AT26+180)</f>
        <v>249.78472785304</v>
      </c>
      <c r="L26" s="10" t="n">
        <f aca="false">L25+1/8</f>
        <v>2459856.5</v>
      </c>
      <c r="M26" s="49" t="n">
        <f aca="false">(L26-2451545)/36525</f>
        <v>0.227556468172485</v>
      </c>
      <c r="N26" s="15" t="n">
        <f aca="false">MOD(280.46061837+360.98564736629*(L26-2451545)+0.000387933*M26^2-M26^3/38710000+$G$4,360)</f>
        <v>12.6687233764678</v>
      </c>
      <c r="O26" s="18" t="n">
        <f aca="false">0.60643382+1336.85522467*M26 - 0.00000313*M26^2 - INT(0.60643382+1336.85522467*M26 - 0.00000313*M26^2)</f>
        <v>0.81648704176115</v>
      </c>
      <c r="P26" s="15" t="n">
        <f aca="false">22640*SIN(Q26)-4586*SIN(Q26-2*S26)+2370*SIN(2*S26)+769*SIN(2*Q26)-668*SIN(R26)-412*SIN(2*T26)-212*SIN(2*Q26-2*S26)-206*SIN(Q26+R26-2*S26)+192*SIN(Q26+2*S26)-165*SIN(R26-2*S26)-125*SIN(S26)-110*SIN(Q26+R26)+148*SIN(Q26-R26)-55*SIN(2*T26-2*S26)</f>
        <v>-261.229767363891</v>
      </c>
      <c r="Q26" s="18" t="n">
        <f aca="false">2*PI()*(0.374897+1325.55241*M26 - INT(0.374897+1325.55241*M26))</f>
        <v>0.0811900458395127</v>
      </c>
      <c r="R26" s="26" t="n">
        <f aca="false">2*PI()*(0.99312619+99.99735956*M26 - 0.00000044*M26^2 - INT(0.99312619+99.99735956*M26- 0.00000044*M26^2))</f>
        <v>4.70090416752933</v>
      </c>
      <c r="S26" s="26" t="n">
        <f aca="false">2*PI()*(0.827361+1236.853086*M26 - INT(0.827361+1236.853086*M26))</f>
        <v>1.7673400080067</v>
      </c>
      <c r="T26" s="26" t="n">
        <f aca="false">2*PI()*(0.259086+1342.227825*M26 - INT(0.259086+1342.227825*M26))</f>
        <v>4.34613796089463</v>
      </c>
      <c r="U26" s="26" t="n">
        <f aca="false">T26+(P26+412*SIN(2*T26)+541*SIN(R26))/206264.8062</f>
        <v>4.34358456114696</v>
      </c>
      <c r="V26" s="26" t="n">
        <f aca="false">T26-2*S26</f>
        <v>0.811457944881235</v>
      </c>
      <c r="W26" s="25" t="n">
        <f aca="false">-526*SIN(V26)+44*SIN(Q26+V26)-31*SIN(-Q26+V26)-23*SIN(R26+V26)+11*SIN(-R26+V26)-25*SIN(-2*Q26+T26)+21*SIN(-Q26+T26)</f>
        <v>-341.757999507166</v>
      </c>
      <c r="X26" s="26" t="n">
        <f aca="false">2*PI()*(O26+P26/1296000-INT(O26+P26/1296000))</f>
        <v>5.12887290664487</v>
      </c>
      <c r="Y26" s="26" t="n">
        <f aca="false">(18520*SIN(U26)+W26)/206264.8062</f>
        <v>-0.0854069841935138</v>
      </c>
      <c r="Z26" s="26" t="n">
        <f aca="false">Y26*180/PI()</f>
        <v>-4.89345973522887</v>
      </c>
      <c r="AA26" s="26" t="n">
        <f aca="false">COS(Y26)*COS(X26)</f>
        <v>0.403072891816985</v>
      </c>
      <c r="AB26" s="26" t="n">
        <f aca="false">COS(Y26)*SIN(X26)</f>
        <v>-0.911183631083408</v>
      </c>
      <c r="AC26" s="26" t="n">
        <f aca="false">SIN(Y26)</f>
        <v>-0.0853031906082623</v>
      </c>
      <c r="AD26" s="26" t="n">
        <f aca="false">COS($A$4*(23.4393-46.815*M26/3600))*AB26-SIN($A$4*(23.4393-46.815*M26/3600))*AC26</f>
        <v>-0.802085668452977</v>
      </c>
      <c r="AE26" s="26" t="n">
        <f aca="false">SIN($A$4*(23.4393-46.815*M26/3600))*AB26+COS($A$4*(23.4393-46.815*M26/3600))*AC26</f>
        <v>-0.44067087984644</v>
      </c>
      <c r="AF26" s="26" t="n">
        <f aca="false">SQRT(1-AE26*AE26)</f>
        <v>0.897668744947358</v>
      </c>
      <c r="AG26" s="10" t="n">
        <f aca="false">ATAN(AE26/AF26)/$A$4</f>
        <v>-26.1466937437927</v>
      </c>
      <c r="AH26" s="26" t="n">
        <f aca="false">IF(24*ATAN(AD26/(AA26+AF26))/PI()&gt;0,24*ATAN(AD26/(AA26+AF26))/PI(),24*ATAN(AD26/(AA26+AF26))/PI()+24)</f>
        <v>19.7787296646654</v>
      </c>
      <c r="AI26" s="10" t="n">
        <f aca="false">IF(N26-15*AH26&gt;0,N26-15*AH26,360+N26-15*AH26)</f>
        <v>75.9877784064875</v>
      </c>
      <c r="AJ26" s="18" t="n">
        <f aca="false">0.950724+0.051818*COS(Q26)+0.009531*COS(2*S26-Q26)+0.007843*COS(2*S26)+0.002824*COS(2*Q26)+0.000857*COS(2*S26+Q26)+0.000533*COS(2*S26-R26)+0.000401*COS(2*S26-R26-Q26)+0.00032*COS(Q26-R26)-0.000271*COS(S26)</f>
        <v>0.988440308589747</v>
      </c>
      <c r="AK26" s="50" t="n">
        <f aca="false">ASIN(COS($A$4*$G$2)*COS($A$4*AG26)*COS($A$4*AI26)+SIN($A$4*$G$2)*SIN($A$4*AG26))/$A$4</f>
        <v>21.8548767836659</v>
      </c>
      <c r="AL26" s="18" t="n">
        <f aca="false">ASIN((0.9983271+0.0016764*COS($A$4*2*$G$2))*COS($A$4*AK26)*SIN($A$4*AJ26))/$A$4</f>
        <v>0.916928092551194</v>
      </c>
      <c r="AM26" s="18" t="n">
        <f aca="false">AK26-AL26</f>
        <v>20.9379486911147</v>
      </c>
      <c r="AN26" s="10" t="n">
        <f aca="false"> IF(280.4664567 + 360007.6982779*M26/10 + 0.03032028*M26^2/100 + M26^3/49931000&lt;0,MOD(280.4664567 + 360007.6982779*M26/10 + 0.03032028*M26^2/100 + M26^3/49931000+360,360),MOD(280.4664567 + 360007.6982779*M26/10 + 0.03032028*M26^2/100 + M26^3/49931000,360))</f>
        <v>192.674505903105</v>
      </c>
      <c r="AO26" s="27" t="n">
        <f aca="false"> AN26 + (1.9146 - 0.004817*M26 - 0.000014*M26^2)*SIN(R26)+ (0.019993 - 0.000101*M26)*SIN(2*R26)+ 0.00029*SIN(3*R26)</f>
        <v>190.761877453954</v>
      </c>
      <c r="AP26" s="18" t="n">
        <f aca="false">ACOS(COS(X26-$A$4*AO26)*COS(Y26))/$A$4</f>
        <v>103.052296329599</v>
      </c>
      <c r="AQ26" s="25" t="n">
        <f aca="false">180 - AP26 -0.1468*(1-0.0549*SIN(R26))*SIN($A$4*AP26)/(1-0.0167*SIN($A$4*AO26))</f>
        <v>76.7973147272115</v>
      </c>
      <c r="AR26" s="25" t="n">
        <f aca="false">SIN($A$4*AI26)</f>
        <v>0.970244100557144</v>
      </c>
      <c r="AS26" s="25" t="n">
        <f aca="false">COS($A$4*AI26)*SIN($A$4*$G$2) - TAN($A$4*AG26)*COS($A$4*$G$2)</f>
        <v>0.357273977058525</v>
      </c>
      <c r="AT26" s="25" t="n">
        <f aca="false">IF(OR(AND(AR26*AS26&gt;0), AND(AR26&lt;0,AS26&gt;0)), MOD(ATAN2(AS26,AR26)/$A$4+360,360),  ATAN2(AS26,AR26)/$A$4)</f>
        <v>69.7847278530398</v>
      </c>
      <c r="AU26" s="29" t="n">
        <f aca="false">(1+SIN($A$4*H26)*SIN($A$4*AJ26))*120*ASIN(0.272481*SIN($A$4*AJ26))/$A$4</f>
        <v>32.5174909840343</v>
      </c>
      <c r="AV26" s="10" t="n">
        <f aca="false">COS(X26)</f>
        <v>0.404547451106826</v>
      </c>
      <c r="AW26" s="10" t="n">
        <f aca="false">SIN(X26)</f>
        <v>-0.914517009028793</v>
      </c>
      <c r="AX26" s="30" t="n">
        <f aca="false"> 385000.56 + (-20905355*COS(Q26) - 3699111*COS(2*S26-Q26) - 2955968*COS(2*S26) - 569925*COS(2*Q26) + (1-0.002516*M26)*48888*COS(R26) - 3149*COS(2*T26)  +246158*COS(2*S26-2*Q26) -(1-0.002516*M26)*152138*COS(2*S26-R26-Q26) -170733*COS(2*S26+Q26) -(1-0.002516*M26)*204586*COS(2*S26-R26) -(1-0.002516*M26)*129620*COS(R26-Q26)  + 108743*COS(S26) +(1-0.002516*M26)*104755*COS(R26+Q26) +10321*COS(2*S26-2*T26) +79661*COS(Q26-2*T26) -34782*COS(4*S26-Q26) -23210*COS(3*Q26)  -21636*COS(4*S26-2*Q26) +(1-0.002516*M26)*24208*COS(2*S26+R26-Q26) +(1-0.002516*M26)*30824*COS(2*S26+R26) -8379*COS(S26-Q26) -(1-0.002516*M26)*16675*COS(S26+R26)  -(1-0.002516*M26)*12831*COS(2*S26-R26+Q26) -10445*COS(2*S26+2*Q26) -11650*COS(4*S26) +14403*COS(2*S26-3*Q26) -(1-0.002516*M26)*7003*COS(R26-2*Q26)  + (1-0.002516*M26)*10056*COS(2*S26-R26-2*Q26) +6322*COS(S26+Q26) -(1-0.002516*M26)*(1-0.002516*M26)*9884*COS(2*S26-2*R26) +(1-0.002516*M26)*5751*COS(R26+2*Q26) -(1-0.002516*M26)*(1-0.002516*M26)*4950*COS(2*S26-2*R26-Q26)  +4130*COS(2*S26+Q26-2*T26) -(1-0.002516*M26)*3958*COS(4*S26-R26-Q26) +3258*COS(3*S26-Q26) +(1-0.002516*M26)*2616*COS(2*S26+R26+Q26) -(1-0.002516*M26)*1897*COS(4*S26-R26-2*Q26)  -(1-0.002516*M26)*(1-0.002516*M26)*2117*COS(2*R26-Q26) +(1-0.002516*M26)*(1-0.002516*M26)*2354*COS(2*S26+2*R26-Q26) -1423*COS(4*S26+Q26) -1117*COS(4*Q26) -(1-0.002516*M26)*1571*COS(4*S26-R26)  -1739*COS(S26-2*Q26) -4421*COS(2*Q26-2*T26) +(1-0.002516*M26)*(1-0.002516*M26)*1165*COS(2*R26+Q26) +8752*COS(2*S26-Q26-2*T26))/1000</f>
        <v>369469.822142505</v>
      </c>
      <c r="AY26" s="10" t="n">
        <f aca="false">AY25+1/8</f>
        <v>4</v>
      </c>
      <c r="AZ26" s="17" t="n">
        <f aca="false">AZ25+1</f>
        <v>25</v>
      </c>
      <c r="BA26" s="32" t="n">
        <f aca="false">ATAN(0.99664719*TAN($A$4*input!$E$2))</f>
        <v>-0.400219206115995</v>
      </c>
      <c r="BB26" s="32" t="n">
        <f aca="false">COS(BA26)</f>
        <v>0.920975608992155</v>
      </c>
      <c r="BC26" s="32" t="n">
        <f aca="false">0.99664719*SIN(BA26)</f>
        <v>-0.388313912533463</v>
      </c>
      <c r="BD26" s="32" t="n">
        <f aca="false">6378.14/AX26</f>
        <v>0.0172629525275273</v>
      </c>
      <c r="BE26" s="33" t="n">
        <f aca="false">MOD(N26-15*AH26,360)</f>
        <v>75.9877784064875</v>
      </c>
      <c r="BF26" s="27" t="n">
        <f aca="false">COS($A$4*AG26)*SIN($A$4*BE26)</f>
        <v>0.87095780403971</v>
      </c>
      <c r="BG26" s="27" t="n">
        <f aca="false">COS($A$4*AG26)*COS($A$4*BE26)-BB26*BD26</f>
        <v>0.201452752561447</v>
      </c>
      <c r="BH26" s="27" t="n">
        <f aca="false">SIN($A$4*AG26)-BC26*BD26</f>
        <v>-0.433967435208596</v>
      </c>
      <c r="BI26" s="46" t="n">
        <f aca="false">SQRT(BF26^2+BG26^2+BH26^2)</f>
        <v>0.993719499030679</v>
      </c>
      <c r="BJ26" s="35" t="n">
        <f aca="false">AX26*BI26</f>
        <v>367149.366566404</v>
      </c>
    </row>
    <row r="27" customFormat="false" ht="15" hidden="false" customHeight="false" outlineLevel="0" collapsed="false">
      <c r="A27" s="0"/>
      <c r="B27" s="20"/>
      <c r="C27" s="15" t="n">
        <f aca="false">MOD(C26+3,24)</f>
        <v>3</v>
      </c>
      <c r="D27" s="105" t="n">
        <v>4</v>
      </c>
      <c r="E27" s="102" t="n">
        <f aca="false">input!$C$2</f>
        <v>10</v>
      </c>
      <c r="F27" s="102" t="n">
        <f aca="false">input!$D$2</f>
        <v>2022</v>
      </c>
      <c r="H27" s="39" t="n">
        <f aca="false">AM27</f>
        <v>-14.4414600200215</v>
      </c>
      <c r="I27" s="48" t="n">
        <f aca="false">H27+1.02/(TAN($A$4*(H27+10.3/(H27+5.11)))*60)</f>
        <v>-14.5025725657164</v>
      </c>
      <c r="J27" s="39" t="n">
        <f aca="false">100*(1+COS($A$4*AQ27))/2</f>
        <v>62.8139947544218</v>
      </c>
      <c r="K27" s="48" t="n">
        <f aca="false">IF(AI27&gt;180,AT27-180,AT27+180)</f>
        <v>233.900104576792</v>
      </c>
      <c r="L27" s="10" t="n">
        <f aca="false">L26+1/8</f>
        <v>2459856.625</v>
      </c>
      <c r="M27" s="49" t="n">
        <f aca="false">(L27-2451545)/36525</f>
        <v>0.227559890485969</v>
      </c>
      <c r="N27" s="15" t="n">
        <f aca="false">MOD(280.46061837+360.98564736629*(L27-2451545)+0.000387933*M27^2-M27^3/38710000+$G$4,360)</f>
        <v>57.7919292985462</v>
      </c>
      <c r="O27" s="18" t="n">
        <f aca="false">0.60643382+1336.85522467*M27 - 0.00000313*M27^2 - INT(0.60643382+1336.85522467*M27 - 0.00000313*M27^2)</f>
        <v>0.821062179417709</v>
      </c>
      <c r="P27" s="15" t="n">
        <f aca="false">22640*SIN(Q27)-4586*SIN(Q27-2*S27)+2370*SIN(2*S27)+769*SIN(2*Q27)-668*SIN(R27)-412*SIN(2*T27)-212*SIN(2*Q27-2*S27)-206*SIN(Q27+R27-2*S27)+192*SIN(Q27+2*S27)-165*SIN(R27-2*S27)-125*SIN(S27)-110*SIN(Q27+R27)+148*SIN(Q27-R27)-55*SIN(2*T27-2*S27)</f>
        <v>211.942467550205</v>
      </c>
      <c r="Q27" s="18" t="n">
        <f aca="false">2*PI()*(0.374897+1325.55241*M27 - INT(0.374897+1325.55241*M27))</f>
        <v>0.109693438811668</v>
      </c>
      <c r="R27" s="26" t="n">
        <f aca="false">2*PI()*(0.99312619+99.99735956*M27 - 0.00000044*M27^2 - INT(0.99312619+99.99735956*M27- 0.00000044*M27^2))</f>
        <v>4.70305441372743</v>
      </c>
      <c r="S27" s="26" t="n">
        <f aca="false">2*PI()*(0.827361+1236.853086*M27 - INT(0.827361+1236.853086*M27))</f>
        <v>1.79393609677162</v>
      </c>
      <c r="T27" s="26" t="n">
        <f aca="false">2*PI()*(0.259086+1342.227825*M27 - INT(0.259086+1342.227825*M27))</f>
        <v>4.37499992581239</v>
      </c>
      <c r="U27" s="26" t="n">
        <f aca="false">T27+(P27+412*SIN(2*T27)+541*SIN(R27))/206264.8062</f>
        <v>4.37465256822155</v>
      </c>
      <c r="V27" s="26" t="n">
        <f aca="false">T27-2*S27</f>
        <v>0.787127732269148</v>
      </c>
      <c r="W27" s="25" t="n">
        <f aca="false">-526*SIN(V27)+44*SIN(Q27+V27)-31*SIN(-Q27+V27)-23*SIN(R27+V27)+11*SIN(-R27+V27)-25*SIN(-2*Q27+T27)+21*SIN(-Q27+T27)</f>
        <v>-331.265876797857</v>
      </c>
      <c r="X27" s="26" t="n">
        <f aca="false">2*PI()*(O27+P27/1296000-INT(O27+P27/1296000))</f>
        <v>5.15991334807696</v>
      </c>
      <c r="Y27" s="26" t="n">
        <f aca="false">(18520*SIN(U27)+W27)/206264.8062</f>
        <v>-0.0863211625676116</v>
      </c>
      <c r="Z27" s="26" t="n">
        <f aca="false">Y27*180/PI()</f>
        <v>-4.94583829778681</v>
      </c>
      <c r="AA27" s="26" t="n">
        <f aca="false">COS(Y27)*COS(X27)</f>
        <v>0.431123799826986</v>
      </c>
      <c r="AB27" s="26" t="n">
        <f aca="false">COS(Y27)*SIN(X27)</f>
        <v>-0.898164470040295</v>
      </c>
      <c r="AC27" s="26" t="n">
        <f aca="false">SIN(Y27)</f>
        <v>-0.0862140010669782</v>
      </c>
      <c r="AD27" s="26" t="n">
        <f aca="false">COS($A$4*(23.4393-46.815*M27/3600))*AB27-SIN($A$4*(23.4393-46.815*M27/3600))*AC27</f>
        <v>-0.789778298859163</v>
      </c>
      <c r="AE27" s="26" t="n">
        <f aca="false">SIN($A$4*(23.4393-46.815*M27/3600))*AB27+COS($A$4*(23.4393-46.815*M27/3600))*AC27</f>
        <v>-0.436328440367881</v>
      </c>
      <c r="AF27" s="26" t="n">
        <f aca="false">SQRT(1-AE27*AE27)</f>
        <v>0.899787470531865</v>
      </c>
      <c r="AG27" s="10" t="n">
        <f aca="false">ATAN(AE27/AF27)/$A$4</f>
        <v>-25.8698547657679</v>
      </c>
      <c r="AH27" s="26" t="n">
        <f aca="false">IF(24*ATAN(AD27/(AA27+AF27))/PI()&gt;0,24*ATAN(AD27/(AA27+AF27))/PI(),24*ATAN(AD27/(AA27+AF27))/PI()+24)</f>
        <v>19.9086148238553</v>
      </c>
      <c r="AI27" s="10" t="n">
        <f aca="false">IF(N27-15*AH27&gt;0,N27-15*AH27,360+N27-15*AH27)</f>
        <v>119.162706940717</v>
      </c>
      <c r="AJ27" s="18" t="n">
        <f aca="false">0.950724+0.051818*COS(Q27)+0.009531*COS(2*S27-Q27)+0.007843*COS(2*S27)+0.002824*COS(2*Q27)+0.000857*COS(2*S27+Q27)+0.000533*COS(2*S27-R27)+0.000401*COS(2*S27-R27-Q27)+0.00032*COS(Q27-R27)-0.000271*COS(S27)</f>
        <v>0.988580365053187</v>
      </c>
      <c r="AK27" s="50" t="n">
        <f aca="false">ASIN(COS($A$4*$G$2)*COS($A$4*AG27)*COS($A$4*AI27)+SIN($A$4*$G$2)*SIN($A$4*AG27))/$A$4</f>
        <v>-13.4806075137555</v>
      </c>
      <c r="AL27" s="18" t="n">
        <f aca="false">ASIN((0.9983271+0.0016764*COS($A$4*2*$G$2))*COS($A$4*AK27)*SIN($A$4*AJ27))/$A$4</f>
        <v>0.960852506266039</v>
      </c>
      <c r="AM27" s="18" t="n">
        <f aca="false">AK27-AL27</f>
        <v>-14.4414600200215</v>
      </c>
      <c r="AN27" s="10" t="n">
        <f aca="false"> IF(280.4664567 + 360007.6982779*M27/10 + 0.03032028*M27^2/100 + M27^3/49931000&lt;0,MOD(280.4664567 + 360007.6982779*M27/10 + 0.03032028*M27^2/100 + M27^3/49931000+360,360),MOD(280.4664567 + 360007.6982779*M27/10 + 0.03032028*M27^2/100 + M27^3/49931000,360))</f>
        <v>192.797711823592</v>
      </c>
      <c r="AO27" s="27" t="n">
        <f aca="false"> AN27 + (1.9146 - 0.004817*M27 - 0.000014*M27^2)*SIN(R27)+ (0.019993 - 0.000101*M27)*SIN(2*R27)+ 0.00029*SIN(3*R27)</f>
        <v>190.884954757208</v>
      </c>
      <c r="AP27" s="18" t="n">
        <f aca="false">ACOS(COS(X27-$A$4*AO27)*COS(Y27))/$A$4</f>
        <v>104.700119069918</v>
      </c>
      <c r="AQ27" s="25" t="n">
        <f aca="false">180 - AP27 -0.1468*(1-0.0549*SIN(R27))*SIN($A$4*AP27)/(1-0.0167*SIN($A$4*AO27))</f>
        <v>75.1505618158371</v>
      </c>
      <c r="AR27" s="25" t="n">
        <f aca="false">SIN($A$4*AI27)</f>
        <v>0.873239433689409</v>
      </c>
      <c r="AS27" s="25" t="n">
        <f aca="false">COS($A$4*AI27)*SIN($A$4*$G$2) - TAN($A$4*AG27)*COS($A$4*$G$2)</f>
        <v>0.636774706067716</v>
      </c>
      <c r="AT27" s="25" t="n">
        <f aca="false">IF(OR(AND(AR27*AS27&gt;0), AND(AR27&lt;0,AS27&gt;0)), MOD(ATAN2(AS27,AR27)/$A$4+360,360),  ATAN2(AS27,AR27)/$A$4)</f>
        <v>53.9001045767922</v>
      </c>
      <c r="AU27" s="29" t="n">
        <f aca="false">(1+SIN($A$4*H27)*SIN($A$4*AJ27))*120*ASIN(0.272481*SIN($A$4*AJ27))/$A$4</f>
        <v>32.1837615149065</v>
      </c>
      <c r="AV27" s="10" t="n">
        <f aca="false">COS(X27)</f>
        <v>0.432735027552271</v>
      </c>
      <c r="AW27" s="10" t="n">
        <f aca="false">SIN(X27)</f>
        <v>-0.901521156673173</v>
      </c>
      <c r="AX27" s="30" t="n">
        <f aca="false"> 385000.56 + (-20905355*COS(Q27) - 3699111*COS(2*S27-Q27) - 2955968*COS(2*S27) - 569925*COS(2*Q27) + (1-0.002516*M27)*48888*COS(R27) - 3149*COS(2*T27)  +246158*COS(2*S27-2*Q27) -(1-0.002516*M27)*152138*COS(2*S27-R27-Q27) -170733*COS(2*S27+Q27) -(1-0.002516*M27)*204586*COS(2*S27-R27) -(1-0.002516*M27)*129620*COS(R27-Q27)  + 108743*COS(S27) +(1-0.002516*M27)*104755*COS(R27+Q27) +10321*COS(2*S27-2*T27) +79661*COS(Q27-2*T27) -34782*COS(4*S27-Q27) -23210*COS(3*Q27)  -21636*COS(4*S27-2*Q27) +(1-0.002516*M27)*24208*COS(2*S27+R27-Q27) +(1-0.002516*M27)*30824*COS(2*S27+R27) -8379*COS(S27-Q27) -(1-0.002516*M27)*16675*COS(S27+R27)  -(1-0.002516*M27)*12831*COS(2*S27-R27+Q27) -10445*COS(2*S27+2*Q27) -11650*COS(4*S27) +14403*COS(2*S27-3*Q27) -(1-0.002516*M27)*7003*COS(R27-2*Q27)  + (1-0.002516*M27)*10056*COS(2*S27-R27-2*Q27) +6322*COS(S27+Q27) -(1-0.002516*M27)*(1-0.002516*M27)*9884*COS(2*S27-2*R27) +(1-0.002516*M27)*5751*COS(R27+2*Q27) -(1-0.002516*M27)*(1-0.002516*M27)*4950*COS(2*S27-2*R27-Q27)  +4130*COS(2*S27+Q27-2*T27) -(1-0.002516*M27)*3958*COS(4*S27-R27-Q27) +3258*COS(3*S27-Q27) +(1-0.002516*M27)*2616*COS(2*S27+R27+Q27) -(1-0.002516*M27)*1897*COS(4*S27-R27-2*Q27)  -(1-0.002516*M27)*(1-0.002516*M27)*2117*COS(2*R27-Q27) +(1-0.002516*M27)*(1-0.002516*M27)*2354*COS(2*S27+2*R27-Q27) -1423*COS(4*S27+Q27) -1117*COS(4*Q27) -(1-0.002516*M27)*1571*COS(4*S27-R27)  -1739*COS(S27-2*Q27) -4421*COS(2*Q27-2*T27) +(1-0.002516*M27)*(1-0.002516*M27)*1165*COS(2*R27+Q27) +8752*COS(2*S27-Q27-2*T27))/1000</f>
        <v>369423.615195669</v>
      </c>
      <c r="AY27" s="10" t="n">
        <f aca="false">AY26+1/8</f>
        <v>4.125</v>
      </c>
      <c r="AZ27" s="17" t="n">
        <f aca="false">AZ26+1</f>
        <v>26</v>
      </c>
      <c r="BA27" s="32" t="n">
        <f aca="false">ATAN(0.99664719*TAN($A$4*input!$E$2))</f>
        <v>-0.400219206115995</v>
      </c>
      <c r="BB27" s="32" t="n">
        <f aca="false">COS(BA27)</f>
        <v>0.920975608992155</v>
      </c>
      <c r="BC27" s="32" t="n">
        <f aca="false">0.99664719*SIN(BA27)</f>
        <v>-0.388313912533463</v>
      </c>
      <c r="BD27" s="32" t="n">
        <f aca="false">6378.14/AX27</f>
        <v>0.0172651117515099</v>
      </c>
      <c r="BE27" s="33" t="n">
        <f aca="false">MOD(N27-15*AH27,360)</f>
        <v>119.162706940717</v>
      </c>
      <c r="BF27" s="27" t="n">
        <f aca="false">COS($A$4*AG27)*SIN($A$4*BE27)</f>
        <v>0.785729901208072</v>
      </c>
      <c r="BG27" s="27" t="n">
        <f aca="false">COS($A$4*AG27)*COS($A$4*BE27)-BB27*BD27</f>
        <v>-0.454359427273042</v>
      </c>
      <c r="BH27" s="27" t="n">
        <f aca="false">SIN($A$4*AG27)-BC27*BD27</f>
        <v>-0.429624157273325</v>
      </c>
      <c r="BI27" s="46" t="n">
        <f aca="false">SQRT(BF27^2+BG27^2+BH27^2)</f>
        <v>1.00418667752423</v>
      </c>
      <c r="BJ27" s="35" t="n">
        <f aca="false">AX27*BI27</f>
        <v>370970.272742328</v>
      </c>
    </row>
    <row r="28" customFormat="false" ht="15" hidden="false" customHeight="false" outlineLevel="0" collapsed="false">
      <c r="A28" s="0"/>
      <c r="B28" s="20"/>
      <c r="C28" s="15" t="n">
        <f aca="false">MOD(C27+3,24)</f>
        <v>6</v>
      </c>
      <c r="D28" s="105" t="n">
        <v>4</v>
      </c>
      <c r="E28" s="102" t="n">
        <f aca="false">input!$C$2</f>
        <v>10</v>
      </c>
      <c r="F28" s="102" t="n">
        <f aca="false">input!$D$2</f>
        <v>2022</v>
      </c>
      <c r="H28" s="39" t="n">
        <f aca="false">AM28</f>
        <v>-39.282417300487</v>
      </c>
      <c r="I28" s="48" t="n">
        <f aca="false">H28+1.02/(TAN($A$4*(H28+10.3/(H28+5.11)))*60)</f>
        <v>-39.3029785825715</v>
      </c>
      <c r="J28" s="39" t="n">
        <f aca="false">100*(1+COS($A$4*AQ28))/2</f>
        <v>64.1979737028955</v>
      </c>
      <c r="K28" s="48" t="n">
        <f aca="false">IF(AI28&gt;180,AT28-180,AT28+180)</f>
        <v>200.462835821449</v>
      </c>
      <c r="L28" s="10" t="n">
        <f aca="false">L27+1/8</f>
        <v>2459856.75</v>
      </c>
      <c r="M28" s="49" t="n">
        <f aca="false">(L28-2451545)/36525</f>
        <v>0.227563312799452</v>
      </c>
      <c r="N28" s="15" t="n">
        <f aca="false">MOD(280.46061837+360.98564736629*(L28-2451545)+0.000387933*M28^2-M28^3/38710000+$G$4,360)</f>
        <v>102.915135219693</v>
      </c>
      <c r="O28" s="18" t="n">
        <f aca="false">0.60643382+1336.85522467*M28 - 0.00000313*M28^2 - INT(0.60643382+1336.85522467*M28 - 0.00000313*M28^2)</f>
        <v>0.825637317074268</v>
      </c>
      <c r="P28" s="15" t="n">
        <f aca="false">22640*SIN(Q28)-4586*SIN(Q28-2*S28)+2370*SIN(2*S28)+769*SIN(2*Q28)-668*SIN(R28)-412*SIN(2*T28)-212*SIN(2*Q28-2*S28)-206*SIN(Q28+R28-2*S28)+192*SIN(Q28+2*S28)-165*SIN(R28-2*S28)-125*SIN(S28)-110*SIN(Q28+R28)+148*SIN(Q28-R28)-55*SIN(2*T28-2*S28)</f>
        <v>688.269841343531</v>
      </c>
      <c r="Q28" s="18" t="n">
        <f aca="false">2*PI()*(0.374897+1325.55241*M28 - INT(0.374897+1325.55241*M28))</f>
        <v>0.138196831783467</v>
      </c>
      <c r="R28" s="26" t="n">
        <f aca="false">2*PI()*(0.99312619+99.99735956*M28 - 0.00000044*M28^2 - INT(0.99312619+99.99735956*M28- 0.00000044*M28^2))</f>
        <v>4.70520465992554</v>
      </c>
      <c r="S28" s="26" t="n">
        <f aca="false">2*PI()*(0.827361+1236.853086*M28 - INT(0.827361+1236.853086*M28))</f>
        <v>1.8205321855369</v>
      </c>
      <c r="T28" s="26" t="n">
        <f aca="false">2*PI()*(0.259086+1342.227825*M28 - INT(0.259086+1342.227825*M28))</f>
        <v>4.40386189073015</v>
      </c>
      <c r="U28" s="26" t="n">
        <f aca="false">T28+(P28+412*SIN(2*T28)+541*SIN(R28))/206264.8062</f>
        <v>4.40573172724037</v>
      </c>
      <c r="V28" s="26" t="n">
        <f aca="false">T28-2*S28</f>
        <v>0.762797519656349</v>
      </c>
      <c r="W28" s="25" t="n">
        <f aca="false">-526*SIN(V28)+44*SIN(Q28+V28)-31*SIN(-Q28+V28)-23*SIN(R28+V28)+11*SIN(-R28+V28)-25*SIN(-2*Q28+T28)+21*SIN(-Q28+T28)</f>
        <v>-320.529848006235</v>
      </c>
      <c r="X28" s="26" t="n">
        <f aca="false">2*PI()*(O28+P28/1296000-INT(O28+P28/1296000))</f>
        <v>5.190969086054</v>
      </c>
      <c r="Y28" s="26" t="n">
        <f aca="false">(18520*SIN(U28)+W28)/206264.8062</f>
        <v>-0.0871526984635592</v>
      </c>
      <c r="Z28" s="26" t="n">
        <f aca="false">Y28*180/PI()</f>
        <v>-4.99348179513824</v>
      </c>
      <c r="AA28" s="26" t="n">
        <f aca="false">COS(Y28)*COS(X28)</f>
        <v>0.458771419714705</v>
      </c>
      <c r="AB28" s="26" t="n">
        <f aca="false">COS(Y28)*SIN(X28)</f>
        <v>-0.884280726437119</v>
      </c>
      <c r="AC28" s="26" t="n">
        <f aca="false">SIN(Y28)</f>
        <v>-0.0870424109546328</v>
      </c>
      <c r="AD28" s="26" t="n">
        <f aca="false">COS($A$4*(23.4393-46.815*M28/3600))*AB28-SIN($A$4*(23.4393-46.815*M28/3600))*AC28</f>
        <v>-0.776710445732064</v>
      </c>
      <c r="AE28" s="26" t="n">
        <f aca="false">SIN($A$4*(23.4393-46.815*M28/3600))*AB28+COS($A$4*(23.4393-46.815*M28/3600))*AC28</f>
        <v>-0.431566527830475</v>
      </c>
      <c r="AF28" s="26" t="n">
        <f aca="false">SQRT(1-AE28*AE28)</f>
        <v>0.902081111683616</v>
      </c>
      <c r="AG28" s="10" t="n">
        <f aca="false">ATAN(AE28/AF28)/$A$4</f>
        <v>-25.5670170801391</v>
      </c>
      <c r="AH28" s="26" t="n">
        <f aca="false">IF(24*ATAN(AD28/(AA28+AF28))/PI()&gt;0,24*ATAN(AD28/(AA28+AF28))/PI(),24*ATAN(AD28/(AA28+AF28))/PI()+24)</f>
        <v>20.0379084762281</v>
      </c>
      <c r="AI28" s="10" t="n">
        <f aca="false">IF(N28-15*AH28&gt;0,N28-15*AH28,360+N28-15*AH28)</f>
        <v>162.346508076272</v>
      </c>
      <c r="AJ28" s="18" t="n">
        <f aca="false">0.950724+0.051818*COS(Q28)+0.009531*COS(2*S28-Q28)+0.007843*COS(2*S28)+0.002824*COS(2*Q28)+0.000857*COS(2*S28+Q28)+0.000533*COS(2*S28-R28)+0.000401*COS(2*S28-R28-Q28)+0.00032*COS(Q28-R28)-0.000271*COS(S28)</f>
        <v>0.988699278983169</v>
      </c>
      <c r="AK28" s="50" t="n">
        <f aca="false">ASIN(COS($A$4*$G$2)*COS($A$4*AG28)*COS($A$4*AI28)+SIN($A$4*$G$2)*SIN($A$4*AG28))/$A$4</f>
        <v>-38.5091598006536</v>
      </c>
      <c r="AL28" s="18" t="n">
        <f aca="false">ASIN((0.9983271+0.0016764*COS($A$4*2*$G$2))*COS($A$4*AK28)*SIN($A$4*AJ28))/$A$4</f>
        <v>0.773257499833443</v>
      </c>
      <c r="AM28" s="18" t="n">
        <f aca="false">AK28-AL28</f>
        <v>-39.282417300487</v>
      </c>
      <c r="AN28" s="10" t="n">
        <f aca="false"> IF(280.4664567 + 360007.6982779*M28/10 + 0.03032028*M28^2/100 + M28^3/49931000&lt;0,MOD(280.4664567 + 360007.6982779*M28/10 + 0.03032028*M28^2/100 + M28^3/49931000+360,360),MOD(280.4664567 + 360007.6982779*M28/10 + 0.03032028*M28^2/100 + M28^3/49931000,360))</f>
        <v>192.920917744077</v>
      </c>
      <c r="AO28" s="27" t="n">
        <f aca="false"> AN28 + (1.9146 - 0.004817*M28 - 0.000014*M28^2)*SIN(R28)+ (0.019993 - 0.000101*M28)*SIN(2*R28)+ 0.00029*SIN(3*R28)</f>
        <v>191.008040888311</v>
      </c>
      <c r="AP28" s="18" t="n">
        <f aca="false">ACOS(COS(X28-$A$4*AO28)*COS(Y28))/$A$4</f>
        <v>106.348536011261</v>
      </c>
      <c r="AQ28" s="25" t="n">
        <f aca="false">180 - AP28 -0.1468*(1-0.0549*SIN(R28))*SIN($A$4*AP28)/(1-0.0167*SIN($A$4*AO28))</f>
        <v>73.5033386094116</v>
      </c>
      <c r="AR28" s="25" t="n">
        <f aca="false">SIN($A$4*AI28)</f>
        <v>0.303259667366781</v>
      </c>
      <c r="AS28" s="25" t="n">
        <f aca="false">COS($A$4*AI28)*SIN($A$4*$G$2) - TAN($A$4*AG28)*COS($A$4*$G$2)</f>
        <v>0.812711470310204</v>
      </c>
      <c r="AT28" s="25" t="n">
        <f aca="false">IF(OR(AND(AR28*AS28&gt;0), AND(AR28&lt;0,AS28&gt;0)), MOD(ATAN2(AS28,AR28)/$A$4+360,360),  ATAN2(AS28,AR28)/$A$4)</f>
        <v>20.4628358214492</v>
      </c>
      <c r="AU28" s="29" t="n">
        <f aca="false">(1+SIN($A$4*H28)*SIN($A$4*AJ28))*120*ASIN(0.272481*SIN($A$4*AJ28))/$A$4</f>
        <v>31.9735568931908</v>
      </c>
      <c r="AV28" s="10" t="n">
        <f aca="false">COS(X28)</f>
        <v>0.460519271406069</v>
      </c>
      <c r="AW28" s="10" t="n">
        <f aca="false">SIN(X28)</f>
        <v>-0.887649706057307</v>
      </c>
      <c r="AX28" s="30" t="n">
        <f aca="false"> 385000.56 + (-20905355*COS(Q28) - 3699111*COS(2*S28-Q28) - 2955968*COS(2*S28) - 569925*COS(2*Q28) + (1-0.002516*M28)*48888*COS(R28) - 3149*COS(2*T28)  +246158*COS(2*S28-2*Q28) -(1-0.002516*M28)*152138*COS(2*S28-R28-Q28) -170733*COS(2*S28+Q28) -(1-0.002516*M28)*204586*COS(2*S28-R28) -(1-0.002516*M28)*129620*COS(R28-Q28)  + 108743*COS(S28) +(1-0.002516*M28)*104755*COS(R28+Q28) +10321*COS(2*S28-2*T28) +79661*COS(Q28-2*T28) -34782*COS(4*S28-Q28) -23210*COS(3*Q28)  -21636*COS(4*S28-2*Q28) +(1-0.002516*M28)*24208*COS(2*S28+R28-Q28) +(1-0.002516*M28)*30824*COS(2*S28+R28) -8379*COS(S28-Q28) -(1-0.002516*M28)*16675*COS(S28+R28)  -(1-0.002516*M28)*12831*COS(2*S28-R28+Q28) -10445*COS(2*S28+2*Q28) -11650*COS(4*S28) +14403*COS(2*S28-3*Q28) -(1-0.002516*M28)*7003*COS(R28-2*Q28)  + (1-0.002516*M28)*10056*COS(2*S28-R28-2*Q28) +6322*COS(S28+Q28) -(1-0.002516*M28)*(1-0.002516*M28)*9884*COS(2*S28-2*R28) +(1-0.002516*M28)*5751*COS(R28+2*Q28) -(1-0.002516*M28)*(1-0.002516*M28)*4950*COS(2*S28-2*R28-Q28)  +4130*COS(2*S28+Q28-2*T28) -(1-0.002516*M28)*3958*COS(4*S28-R28-Q28) +3258*COS(3*S28-Q28) +(1-0.002516*M28)*2616*COS(2*S28+R28+Q28) -(1-0.002516*M28)*1897*COS(4*S28-R28-2*Q28)  -(1-0.002516*M28)*(1-0.002516*M28)*2117*COS(2*R28-Q28) +(1-0.002516*M28)*(1-0.002516*M28)*2354*COS(2*S28+2*R28-Q28) -1423*COS(4*S28+Q28) -1117*COS(4*Q28) -(1-0.002516*M28)*1571*COS(4*S28-R28)  -1739*COS(S28-2*Q28) -4421*COS(2*Q28-2*T28) +(1-0.002516*M28)*(1-0.002516*M28)*1165*COS(2*R28+Q28) +8752*COS(2*S28-Q28-2*T28))/1000</f>
        <v>369386.222815821</v>
      </c>
      <c r="AY28" s="10" t="n">
        <f aca="false">AY27+1/8</f>
        <v>4.25</v>
      </c>
      <c r="AZ28" s="17" t="n">
        <f aca="false">AZ27+1</f>
        <v>27</v>
      </c>
      <c r="BA28" s="32" t="n">
        <f aca="false">ATAN(0.99664719*TAN($A$4*input!$E$2))</f>
        <v>-0.400219206115995</v>
      </c>
      <c r="BB28" s="32" t="n">
        <f aca="false">COS(BA28)</f>
        <v>0.920975608992155</v>
      </c>
      <c r="BC28" s="32" t="n">
        <f aca="false">0.99664719*SIN(BA28)</f>
        <v>-0.388313912533463</v>
      </c>
      <c r="BD28" s="32" t="n">
        <f aca="false">6378.14/AX28</f>
        <v>0.0172668594713133</v>
      </c>
      <c r="BE28" s="33" t="n">
        <f aca="false">MOD(N28-15*AH28,360)</f>
        <v>162.346508076272</v>
      </c>
      <c r="BF28" s="27" t="n">
        <f aca="false">COS($A$4*AG28)*SIN($A$4*BE28)</f>
        <v>0.273564817867029</v>
      </c>
      <c r="BG28" s="27" t="n">
        <f aca="false">COS($A$4*AG28)*COS($A$4*BE28)-BB28*BD28</f>
        <v>-0.875502625426778</v>
      </c>
      <c r="BH28" s="27" t="n">
        <f aca="false">SIN($A$4*AG28)-BC28*BD28</f>
        <v>-0.424861566072004</v>
      </c>
      <c r="BI28" s="46" t="n">
        <f aca="false">SQRT(BF28^2+BG28^2+BH28^2)</f>
        <v>1.01086591941214</v>
      </c>
      <c r="BJ28" s="35" t="n">
        <f aca="false">AX28*BI28</f>
        <v>373399.943744894</v>
      </c>
    </row>
    <row r="29" customFormat="false" ht="15" hidden="false" customHeight="false" outlineLevel="0" collapsed="false">
      <c r="A29" s="0"/>
      <c r="B29" s="20"/>
      <c r="C29" s="15" t="n">
        <f aca="false">MOD(C28+3,24)</f>
        <v>9</v>
      </c>
      <c r="D29" s="105" t="n">
        <v>4</v>
      </c>
      <c r="E29" s="102" t="n">
        <f aca="false">input!$C$2</f>
        <v>10</v>
      </c>
      <c r="F29" s="102" t="n">
        <f aca="false">input!$D$2</f>
        <v>2022</v>
      </c>
      <c r="H29" s="39" t="n">
        <f aca="false">AM29</f>
        <v>-36.5813730449007</v>
      </c>
      <c r="I29" s="48" t="n">
        <f aca="false">H29+1.02/(TAN($A$4*(H29+10.3/(H29+5.11)))*60)</f>
        <v>-36.6040077975113</v>
      </c>
      <c r="J29" s="39" t="n">
        <f aca="false">100*(1+COS($A$4*AQ29))/2</f>
        <v>65.5705645933671</v>
      </c>
      <c r="K29" s="48" t="n">
        <f aca="false">IF(AI29&gt;180,AT29-180,AT29+180)</f>
        <v>151.268514794208</v>
      </c>
      <c r="L29" s="10" t="n">
        <f aca="false">L28+1/8</f>
        <v>2459856.875</v>
      </c>
      <c r="M29" s="49" t="n">
        <f aca="false">(L29-2451545)/36525</f>
        <v>0.227566735112936</v>
      </c>
      <c r="N29" s="15" t="n">
        <f aca="false">MOD(280.46061837+360.98564736629*(L29-2451545)+0.000387933*M29^2-M29^3/38710000+$G$4,360)</f>
        <v>148.03834114084</v>
      </c>
      <c r="O29" s="18" t="n">
        <f aca="false">0.60643382+1336.85522467*M29 - 0.00000313*M29^2 - INT(0.60643382+1336.85522467*M29 - 0.00000313*M29^2)</f>
        <v>0.83021245473077</v>
      </c>
      <c r="P29" s="15" t="n">
        <f aca="false">22640*SIN(Q29)-4586*SIN(Q29-2*S29)+2370*SIN(2*S29)+769*SIN(2*Q29)-668*SIN(R29)-412*SIN(2*T29)-212*SIN(2*Q29-2*S29)-206*SIN(Q29+R29-2*S29)+192*SIN(Q29+2*S29)-165*SIN(R29-2*S29)-125*SIN(S29)-110*SIN(Q29+R29)+148*SIN(Q29-R29)-55*SIN(2*T29-2*S29)</f>
        <v>1167.48882907785</v>
      </c>
      <c r="Q29" s="18" t="n">
        <f aca="false">2*PI()*(0.374897+1325.55241*M29 - INT(0.374897+1325.55241*M29))</f>
        <v>0.166700224755623</v>
      </c>
      <c r="R29" s="26" t="n">
        <f aca="false">2*PI()*(0.99312619+99.99735956*M29 - 0.00000044*M29^2 - INT(0.99312619+99.99735956*M29- 0.00000044*M29^2))</f>
        <v>4.70735490612366</v>
      </c>
      <c r="S29" s="26" t="n">
        <f aca="false">2*PI()*(0.827361+1236.853086*M29 - INT(0.827361+1236.853086*M29))</f>
        <v>1.84712827430147</v>
      </c>
      <c r="T29" s="26" t="n">
        <f aca="false">2*PI()*(0.259086+1342.227825*M29 - INT(0.259086+1342.227825*M29))</f>
        <v>4.43272385564755</v>
      </c>
      <c r="U29" s="26" t="n">
        <f aca="false">T29+(P29+412*SIN(2*T29)+541*SIN(R29))/206264.8062</f>
        <v>4.43682106726052</v>
      </c>
      <c r="V29" s="26" t="n">
        <f aca="false">T29-2*S29</f>
        <v>0.73846730704462</v>
      </c>
      <c r="W29" s="25" t="n">
        <f aca="false">-526*SIN(V29)+44*SIN(Q29+V29)-31*SIN(-Q29+V29)-23*SIN(R29+V29)+11*SIN(-R29+V29)-25*SIN(-2*Q29+T29)+21*SIN(-Q29+T29)</f>
        <v>-309.55897972581</v>
      </c>
      <c r="X29" s="26" t="n">
        <f aca="false">2*PI()*(O29+P29/1296000-INT(O29+P29/1296000))</f>
        <v>5.22203884297067</v>
      </c>
      <c r="Y29" s="26" t="n">
        <f aca="false">(18520*SIN(U29)+W29)/206264.8062</f>
        <v>-0.0879006701944403</v>
      </c>
      <c r="Z29" s="26" t="n">
        <f aca="false">Y29*180/PI()</f>
        <v>-5.03633741851282</v>
      </c>
      <c r="AA29" s="26" t="n">
        <f aca="false">COS(Y29)*COS(X29)</f>
        <v>0.485988072826375</v>
      </c>
      <c r="AB29" s="26" t="n">
        <f aca="false">COS(Y29)*SIN(X29)</f>
        <v>-0.869545251556496</v>
      </c>
      <c r="AC29" s="26" t="n">
        <f aca="false">SIN(Y29)</f>
        <v>-0.0877875194207991</v>
      </c>
      <c r="AD29" s="26" t="n">
        <f aca="false">COS($A$4*(23.4393-46.815*M29/3600))*AB29-SIN($A$4*(23.4393-46.815*M29/3600))*AC29</f>
        <v>-0.762894258450359</v>
      </c>
      <c r="AE29" s="26" t="n">
        <f aca="false">SIN($A$4*(23.4393-46.815*M29/3600))*AB29+COS($A$4*(23.4393-46.815*M29/3600))*AC29</f>
        <v>-0.426389427042913</v>
      </c>
      <c r="AF29" s="26" t="n">
        <f aca="false">SQRT(1-AE29*AE29)</f>
        <v>0.904539693162228</v>
      </c>
      <c r="AG29" s="10" t="n">
        <f aca="false">ATAN(AE29/AF29)/$A$4</f>
        <v>-25.2386413496002</v>
      </c>
      <c r="AH29" s="26" t="n">
        <f aca="false">IF(24*ATAN(AD29/(AA29+AF29))/PI()&gt;0,24*ATAN(AD29/(AA29+AF29))/PI(),24*ATAN(AD29/(AA29+AF29))/PI()+24)</f>
        <v>20.1665627728243</v>
      </c>
      <c r="AI29" s="10" t="n">
        <f aca="false">IF(N29-15*AH29&gt;0,N29-15*AH29,360+N29-15*AH29)</f>
        <v>205.539899548475</v>
      </c>
      <c r="AJ29" s="18" t="n">
        <f aca="false">0.950724+0.051818*COS(Q29)+0.009531*COS(2*S29-Q29)+0.007843*COS(2*S29)+0.002824*COS(2*Q29)+0.000857*COS(2*S29+Q29)+0.000533*COS(2*S29-R29)+0.000401*COS(2*S29-R29-Q29)+0.00032*COS(Q29-R29)-0.000271*COS(S29)</f>
        <v>0.988796411915719</v>
      </c>
      <c r="AK29" s="50" t="n">
        <f aca="false">ASIN(COS($A$4*$G$2)*COS($A$4*AG29)*COS($A$4*AI29)+SIN($A$4*$G$2)*SIN($A$4*AG29))/$A$4</f>
        <v>-35.7796117226274</v>
      </c>
      <c r="AL29" s="18" t="n">
        <f aca="false">ASIN((0.9983271+0.0016764*COS($A$4*2*$G$2))*COS($A$4*AK29)*SIN($A$4*AJ29))/$A$4</f>
        <v>0.801761322273368</v>
      </c>
      <c r="AM29" s="18" t="n">
        <f aca="false">AK29-AL29</f>
        <v>-36.5813730449007</v>
      </c>
      <c r="AN29" s="10" t="n">
        <f aca="false"> IF(280.4664567 + 360007.6982779*M29/10 + 0.03032028*M29^2/100 + M29^3/49931000&lt;0,MOD(280.4664567 + 360007.6982779*M29/10 + 0.03032028*M29^2/100 + M29^3/49931000+360,360),MOD(280.4664567 + 360007.6982779*M29/10 + 0.03032028*M29^2/100 + M29^3/49931000,360))</f>
        <v>193.044123664562</v>
      </c>
      <c r="AO29" s="27" t="n">
        <f aca="false"> AN29 + (1.9146 - 0.004817*M29 - 0.000014*M29^2)*SIN(R29)+ (0.019993 - 0.000101*M29)*SIN(2*R29)+ 0.00029*SIN(3*R29)</f>
        <v>191.131135849009</v>
      </c>
      <c r="AP29" s="18" t="n">
        <f aca="false">ACOS(COS(X29-$A$4*AO29)*COS(Y29))/$A$4</f>
        <v>107.997493438969</v>
      </c>
      <c r="AQ29" s="25" t="n">
        <f aca="false">180 - AP29 -0.1468*(1-0.0549*SIN(R29))*SIN($A$4*AP29)/(1-0.0167*SIN($A$4*AO29))</f>
        <v>71.8556979136611</v>
      </c>
      <c r="AR29" s="25" t="n">
        <f aca="false">SIN($A$4*AI29)</f>
        <v>-0.4311395333491</v>
      </c>
      <c r="AS29" s="25" t="n">
        <f aca="false">COS($A$4*AI29)*SIN($A$4*$G$2) - TAN($A$4*AG29)*COS($A$4*$G$2)</f>
        <v>0.786466157327658</v>
      </c>
      <c r="AT29" s="25" t="n">
        <f aca="false">IF(OR(AND(AR29*AS29&gt;0), AND(AR29&lt;0,AS29&gt;0)), MOD(ATAN2(AS29,AR29)/$A$4+360,360),  ATAN2(AS29,AR29)/$A$4)</f>
        <v>331.268514794208</v>
      </c>
      <c r="AU29" s="29" t="n">
        <f aca="false">(1+SIN($A$4*H29)*SIN($A$4*AJ29))*120*ASIN(0.272481*SIN($A$4*AJ29))/$A$4</f>
        <v>31.9974060594877</v>
      </c>
      <c r="AV29" s="10" t="n">
        <f aca="false">COS(X29)</f>
        <v>0.487871636459801</v>
      </c>
      <c r="AW29" s="10" t="n">
        <f aca="false">SIN(X29)</f>
        <v>-0.872915383263484</v>
      </c>
      <c r="AX29" s="30" t="n">
        <f aca="false"> 385000.56 + (-20905355*COS(Q29) - 3699111*COS(2*S29-Q29) - 2955968*COS(2*S29) - 569925*COS(2*Q29) + (1-0.002516*M29)*48888*COS(R29) - 3149*COS(2*T29)  +246158*COS(2*S29-2*Q29) -(1-0.002516*M29)*152138*COS(2*S29-R29-Q29) -170733*COS(2*S29+Q29) -(1-0.002516*M29)*204586*COS(2*S29-R29) -(1-0.002516*M29)*129620*COS(R29-Q29)  + 108743*COS(S29) +(1-0.002516*M29)*104755*COS(R29+Q29) +10321*COS(2*S29-2*T29) +79661*COS(Q29-2*T29) -34782*COS(4*S29-Q29) -23210*COS(3*Q29)  -21636*COS(4*S29-2*Q29) +(1-0.002516*M29)*24208*COS(2*S29+R29-Q29) +(1-0.002516*M29)*30824*COS(2*S29+R29) -8379*COS(S29-Q29) -(1-0.002516*M29)*16675*COS(S29+R29)  -(1-0.002516*M29)*12831*COS(2*S29-R29+Q29) -10445*COS(2*S29+2*Q29) -11650*COS(4*S29) +14403*COS(2*S29-3*Q29) -(1-0.002516*M29)*7003*COS(R29-2*Q29)  + (1-0.002516*M29)*10056*COS(2*S29-R29-2*Q29) +6322*COS(S29+Q29) -(1-0.002516*M29)*(1-0.002516*M29)*9884*COS(2*S29-2*R29) +(1-0.002516*M29)*5751*COS(R29+2*Q29) -(1-0.002516*M29)*(1-0.002516*M29)*4950*COS(2*S29-2*R29-Q29)  +4130*COS(2*S29+Q29-2*T29) -(1-0.002516*M29)*3958*COS(4*S29-R29-Q29) +3258*COS(3*S29-Q29) +(1-0.002516*M29)*2616*COS(2*S29+R29+Q29) -(1-0.002516*M29)*1897*COS(4*S29-R29-2*Q29)  -(1-0.002516*M29)*(1-0.002516*M29)*2117*COS(2*R29-Q29) +(1-0.002516*M29)*(1-0.002516*M29)*2354*COS(2*S29+2*R29-Q29) -1423*COS(4*S29+Q29) -1117*COS(4*Q29) -(1-0.002516*M29)*1571*COS(4*S29-R29)  -1739*COS(S29-2*Q29) -4421*COS(2*Q29-2*T29) +(1-0.002516*M29)*(1-0.002516*M29)*1165*COS(2*R29+Q29) +8752*COS(2*S29-Q29-2*T29))/1000</f>
        <v>369357.838518881</v>
      </c>
      <c r="AY29" s="10" t="n">
        <f aca="false">AY28+1/8</f>
        <v>4.375</v>
      </c>
      <c r="AZ29" s="17" t="n">
        <f aca="false">AZ28+1</f>
        <v>28</v>
      </c>
      <c r="BA29" s="32" t="n">
        <f aca="false">ATAN(0.99664719*TAN($A$4*input!$E$2))</f>
        <v>-0.400219206115995</v>
      </c>
      <c r="BB29" s="32" t="n">
        <f aca="false">COS(BA29)</f>
        <v>0.920975608992155</v>
      </c>
      <c r="BC29" s="32" t="n">
        <f aca="false">0.99664719*SIN(BA29)</f>
        <v>-0.388313912533463</v>
      </c>
      <c r="BD29" s="32" t="n">
        <f aca="false">6378.14/AX29</f>
        <v>0.0172681863895897</v>
      </c>
      <c r="BE29" s="33" t="n">
        <f aca="false">MOD(N29-15*AH29,360)</f>
        <v>205.539899548475</v>
      </c>
      <c r="BF29" s="27" t="n">
        <f aca="false">COS($A$4*AG29)*SIN($A$4*BE29)</f>
        <v>-0.389982821205701</v>
      </c>
      <c r="BG29" s="27" t="n">
        <f aca="false">COS($A$4*AG29)*COS($A$4*BE29)-BB29*BD29</f>
        <v>-0.832056416902123</v>
      </c>
      <c r="BH29" s="27" t="n">
        <f aca="false">SIN($A$4*AG29)-BC29*BD29</f>
        <v>-0.419683950023614</v>
      </c>
      <c r="BI29" s="46" t="n">
        <f aca="false">SQRT(BF29^2+BG29^2+BH29^2)</f>
        <v>1.01021735267762</v>
      </c>
      <c r="BJ29" s="35" t="n">
        <f aca="false">AX29*BI29</f>
        <v>373131.697819272</v>
      </c>
    </row>
    <row r="30" customFormat="false" ht="15" hidden="false" customHeight="false" outlineLevel="0" collapsed="false">
      <c r="A30" s="0"/>
      <c r="B30" s="20"/>
      <c r="C30" s="15" t="n">
        <f aca="false">MOD(C29+3,24)</f>
        <v>12</v>
      </c>
      <c r="D30" s="105" t="n">
        <v>4</v>
      </c>
      <c r="E30" s="102" t="n">
        <f aca="false">input!$C$2</f>
        <v>10</v>
      </c>
      <c r="F30" s="102" t="n">
        <f aca="false">input!$D$2</f>
        <v>2022</v>
      </c>
      <c r="H30" s="39" t="n">
        <f aca="false">AM30</f>
        <v>-8.92933626360959</v>
      </c>
      <c r="I30" s="48" t="n">
        <f aca="false">H30+1.02/(TAN($A$4*(H30+10.3/(H30+5.11)))*60)</f>
        <v>-9.01196240782634</v>
      </c>
      <c r="J30" s="39" t="n">
        <f aca="false">100*(1+COS($A$4*AQ30))/2</f>
        <v>66.9305773479519</v>
      </c>
      <c r="K30" s="48" t="n">
        <f aca="false">IF(AI30&gt;180,AT30-180,AT30+180)</f>
        <v>121.390028831024</v>
      </c>
      <c r="L30" s="10" t="n">
        <f aca="false">L29+1/8</f>
        <v>2459857</v>
      </c>
      <c r="M30" s="49" t="n">
        <f aca="false">(L30-2451545)/36525</f>
        <v>0.22757015742642</v>
      </c>
      <c r="N30" s="15" t="n">
        <f aca="false">MOD(280.46061837+360.98564736629*(L30-2451545)+0.000387933*M30^2-M30^3/38710000+$G$4,360)</f>
        <v>193.161547062453</v>
      </c>
      <c r="O30" s="18" t="n">
        <f aca="false">0.60643382+1336.85522467*M30 - 0.00000313*M30^2 - INT(0.60643382+1336.85522467*M30 - 0.00000313*M30^2)</f>
        <v>0.834787592387386</v>
      </c>
      <c r="P30" s="15" t="n">
        <f aca="false">22640*SIN(Q30)-4586*SIN(Q30-2*S30)+2370*SIN(2*S30)+769*SIN(2*Q30)-668*SIN(R30)-412*SIN(2*T30)-212*SIN(2*Q30-2*S30)-206*SIN(Q30+R30-2*S30)+192*SIN(Q30+2*S30)-165*SIN(R30-2*S30)-125*SIN(S30)-110*SIN(Q30+R30)+148*SIN(Q30-R30)-55*SIN(2*T30-2*S30)</f>
        <v>1649.32184050605</v>
      </c>
      <c r="Q30" s="18" t="n">
        <f aca="false">2*PI()*(0.374897+1325.55241*M30 - INT(0.374897+1325.55241*M30))</f>
        <v>0.195203617727422</v>
      </c>
      <c r="R30" s="26" t="n">
        <f aca="false">2*PI()*(0.99312619+99.99735956*M30 - 0.00000044*M30^2 - INT(0.99312619+99.99735956*M30- 0.00000044*M30^2))</f>
        <v>4.70950515232177</v>
      </c>
      <c r="S30" s="26" t="n">
        <f aca="false">2*PI()*(0.827361+1236.853086*M30 - INT(0.827361+1236.853086*M30))</f>
        <v>1.87372436306639</v>
      </c>
      <c r="T30" s="26" t="n">
        <f aca="false">2*PI()*(0.259086+1342.227825*M30 - INT(0.259086+1342.227825*M30))</f>
        <v>4.46158582056531</v>
      </c>
      <c r="U30" s="26" t="n">
        <f aca="false">T30+(P30+412*SIN(2*T30)+541*SIN(R30))/206264.8062</f>
        <v>4.46791956197462</v>
      </c>
      <c r="V30" s="26" t="n">
        <f aca="false">T30-2*S30</f>
        <v>0.714137094432533</v>
      </c>
      <c r="W30" s="25" t="n">
        <f aca="false">-526*SIN(V30)+44*SIN(Q30+V30)-31*SIN(-Q30+V30)-23*SIN(R30+V30)+11*SIN(-R30+V30)-25*SIN(-2*Q30+T30)+21*SIN(-Q30+T30)</f>
        <v>-298.362586054107</v>
      </c>
      <c r="X30" s="26" t="n">
        <f aca="false">2*PI()*(O30+P30/1296000-INT(O30+P30/1296000))</f>
        <v>5.25312127303254</v>
      </c>
      <c r="Y30" s="26" t="n">
        <f aca="false">(18520*SIN(U30)+W30)/206264.8062</f>
        <v>-0.088564244673767</v>
      </c>
      <c r="Z30" s="26" t="n">
        <f aca="false">Y30*180/PI()</f>
        <v>-5.07435743557083</v>
      </c>
      <c r="AA30" s="26" t="n">
        <f aca="false">COS(Y30)*COS(X30)</f>
        <v>0.512746458928635</v>
      </c>
      <c r="AB30" s="26" t="n">
        <f aca="false">COS(Y30)*SIN(X30)</f>
        <v>-0.853971855199633</v>
      </c>
      <c r="AC30" s="26" t="n">
        <f aca="false">SIN(Y30)</f>
        <v>-0.0884485126106862</v>
      </c>
      <c r="AD30" s="26" t="n">
        <f aca="false">COS($A$4*(23.4393-46.815*M30/3600))*AB30-SIN($A$4*(23.4393-46.815*M30/3600))*AC30</f>
        <v>-0.748342731235221</v>
      </c>
      <c r="AE30" s="26" t="n">
        <f aca="false">SIN($A$4*(23.4393-46.815*M30/3600))*AB30+COS($A$4*(23.4393-46.815*M30/3600))*AC30</f>
        <v>-0.420801883864077</v>
      </c>
      <c r="AF30" s="26" t="n">
        <f aca="false">SQRT(1-AE30*AE30)</f>
        <v>0.907152564090762</v>
      </c>
      <c r="AG30" s="10" t="n">
        <f aca="false">ATAN(AE30/AF30)/$A$4</f>
        <v>-24.8852241225294</v>
      </c>
      <c r="AH30" s="26" t="n">
        <f aca="false">IF(24*ATAN(AD30/(AA30+AF30))/PI()&gt;0,24*ATAN(AD30/(AA30+AF30))/PI(),24*ATAN(AD30/(AA30+AF30))/PI()+24)</f>
        <v>20.2945336856703</v>
      </c>
      <c r="AI30" s="10" t="n">
        <f aca="false">IF(N30-15*AH30&gt;0,N30-15*AH30,360+N30-15*AH30)</f>
        <v>248.743541777398</v>
      </c>
      <c r="AJ30" s="18" t="n">
        <f aca="false">0.950724+0.051818*COS(Q30)+0.009531*COS(2*S30-Q30)+0.007843*COS(2*S30)+0.002824*COS(2*Q30)+0.000857*COS(2*S30+Q30)+0.000533*COS(2*S30-R30)+0.000401*COS(2*S30-R30-Q30)+0.00032*COS(Q30-R30)-0.000271*COS(S30)</f>
        <v>0.988871100697496</v>
      </c>
      <c r="AK30" s="50" t="n">
        <f aca="false">ASIN(COS($A$4*$G$2)*COS($A$4*AG30)*COS($A$4*AI30)+SIN($A$4*$G$2)*SIN($A$4*AG30))/$A$4</f>
        <v>-7.95046904447676</v>
      </c>
      <c r="AL30" s="18" t="n">
        <f aca="false">ASIN((0.9983271+0.0016764*COS($A$4*2*$G$2))*COS($A$4*AK30)*SIN($A$4*AJ30))/$A$4</f>
        <v>0.97886721913283</v>
      </c>
      <c r="AM30" s="18" t="n">
        <f aca="false">AK30-AL30</f>
        <v>-8.92933626360959</v>
      </c>
      <c r="AN30" s="10" t="n">
        <f aca="false"> IF(280.4664567 + 360007.6982779*M30/10 + 0.03032028*M30^2/100 + M30^3/49931000&lt;0,MOD(280.4664567 + 360007.6982779*M30/10 + 0.03032028*M30^2/100 + M30^3/49931000+360,360),MOD(280.4664567 + 360007.6982779*M30/10 + 0.03032028*M30^2/100 + M30^3/49931000,360))</f>
        <v>193.167329585047</v>
      </c>
      <c r="AO30" s="27" t="n">
        <f aca="false"> AN30 + (1.9146 - 0.004817*M30 - 0.000014*M30^2)*SIN(R30)+ (0.019993 - 0.000101*M30)*SIN(2*R30)+ 0.00029*SIN(3*R30)</f>
        <v>191.254239641004</v>
      </c>
      <c r="AP30" s="18" t="n">
        <f aca="false">ACOS(COS(X30-$A$4*AO30)*COS(Y30))/$A$4</f>
        <v>109.646934621674</v>
      </c>
      <c r="AQ30" s="25" t="n">
        <f aca="false">180 - AP30 -0.1468*(1-0.0549*SIN(R30))*SIN($A$4*AP30)/(1-0.0167*SIN($A$4*AO30))</f>
        <v>70.2076954287411</v>
      </c>
      <c r="AR30" s="25" t="n">
        <f aca="false">SIN($A$4*AI30)</f>
        <v>-0.931967010343895</v>
      </c>
      <c r="AS30" s="25" t="n">
        <f aca="false">COS($A$4*AI30)*SIN($A$4*$G$2) - TAN($A$4*AG30)*COS($A$4*$G$2)</f>
        <v>0.568652495826973</v>
      </c>
      <c r="AT30" s="25" t="n">
        <f aca="false">IF(OR(AND(AR30*AS30&gt;0), AND(AR30&lt;0,AS30&gt;0)), MOD(ATAN2(AS30,AR30)/$A$4+360,360),  ATAN2(AS30,AR30)/$A$4)</f>
        <v>301.390028831024</v>
      </c>
      <c r="AU30" s="29" t="n">
        <f aca="false">(1+SIN($A$4*H30)*SIN($A$4*AJ30))*120*ASIN(0.272481*SIN($A$4*AJ30))/$A$4</f>
        <v>32.2457339696647</v>
      </c>
      <c r="AV30" s="10" t="n">
        <f aca="false">COS(X30)</f>
        <v>0.514763947504986</v>
      </c>
      <c r="AW30" s="10" t="n">
        <f aca="false">SIN(X30)</f>
        <v>-0.857331953416577</v>
      </c>
      <c r="AX30" s="30" t="n">
        <f aca="false"> 385000.56 + (-20905355*COS(Q30) - 3699111*COS(2*S30-Q30) - 2955968*COS(2*S30) - 569925*COS(2*Q30) + (1-0.002516*M30)*48888*COS(R30) - 3149*COS(2*T30)  +246158*COS(2*S30-2*Q30) -(1-0.002516*M30)*152138*COS(2*S30-R30-Q30) -170733*COS(2*S30+Q30) -(1-0.002516*M30)*204586*COS(2*S30-R30) -(1-0.002516*M30)*129620*COS(R30-Q30)  + 108743*COS(S30) +(1-0.002516*M30)*104755*COS(R30+Q30) +10321*COS(2*S30-2*T30) +79661*COS(Q30-2*T30) -34782*COS(4*S30-Q30) -23210*COS(3*Q30)  -21636*COS(4*S30-2*Q30) +(1-0.002516*M30)*24208*COS(2*S30+R30-Q30) +(1-0.002516*M30)*30824*COS(2*S30+R30) -8379*COS(S30-Q30) -(1-0.002516*M30)*16675*COS(S30+R30)  -(1-0.002516*M30)*12831*COS(2*S30-R30+Q30) -10445*COS(2*S30+2*Q30) -11650*COS(4*S30) +14403*COS(2*S30-3*Q30) -(1-0.002516*M30)*7003*COS(R30-2*Q30)  + (1-0.002516*M30)*10056*COS(2*S30-R30-2*Q30) +6322*COS(S30+Q30) -(1-0.002516*M30)*(1-0.002516*M30)*9884*COS(2*S30-2*R30) +(1-0.002516*M30)*5751*COS(R30+2*Q30) -(1-0.002516*M30)*(1-0.002516*M30)*4950*COS(2*S30-2*R30-Q30)  +4130*COS(2*S30+Q30-2*T30) -(1-0.002516*M30)*3958*COS(4*S30-R30-Q30) +3258*COS(3*S30-Q30) +(1-0.002516*M30)*2616*COS(2*S30+R30+Q30) -(1-0.002516*M30)*1897*COS(4*S30-R30-2*Q30)  -(1-0.002516*M30)*(1-0.002516*M30)*2117*COS(2*R30-Q30) +(1-0.002516*M30)*(1-0.002516*M30)*2354*COS(2*S30+2*R30-Q30) -1423*COS(4*S30+Q30) -1117*COS(4*Q30) -(1-0.002516*M30)*1571*COS(4*S30-R30)  -1739*COS(S30-2*Q30) -4421*COS(2*Q30-2*T30) +(1-0.002516*M30)*(1-0.002516*M30)*1165*COS(2*R30+Q30) +8752*COS(2*S30-Q30-2*T30))/1000</f>
        <v>369338.661391087</v>
      </c>
      <c r="AY30" s="10" t="n">
        <f aca="false">AY29+1/8</f>
        <v>4.5</v>
      </c>
      <c r="AZ30" s="17" t="n">
        <f aca="false">AZ29+1</f>
        <v>29</v>
      </c>
      <c r="BA30" s="32" t="n">
        <f aca="false">ATAN(0.99664719*TAN($A$4*input!$E$2))</f>
        <v>-0.400219206115995</v>
      </c>
      <c r="BB30" s="32" t="n">
        <f aca="false">COS(BA30)</f>
        <v>0.920975608992155</v>
      </c>
      <c r="BC30" s="32" t="n">
        <f aca="false">0.99664719*SIN(BA30)</f>
        <v>-0.388313912533463</v>
      </c>
      <c r="BD30" s="32" t="n">
        <f aca="false">6378.14/AX30</f>
        <v>0.0172690830035967</v>
      </c>
      <c r="BE30" s="33" t="n">
        <f aca="false">MOD(N30-15*AH30,360)</f>
        <v>248.743541777398</v>
      </c>
      <c r="BF30" s="27" t="n">
        <f aca="false">COS($A$4*AG30)*SIN($A$4*BE30)</f>
        <v>-0.845436263081466</v>
      </c>
      <c r="BG30" s="27" t="n">
        <f aca="false">COS($A$4*AG30)*COS($A$4*BE30)-BB30*BD30</f>
        <v>-0.344786297327232</v>
      </c>
      <c r="BH30" s="27" t="n">
        <f aca="false">SIN($A$4*AG30)-BC30*BD30</f>
        <v>-0.414096058677086</v>
      </c>
      <c r="BI30" s="46" t="n">
        <f aca="false">SQRT(BF30^2+BG30^2+BH30^2)</f>
        <v>1.00255454294002</v>
      </c>
      <c r="BJ30" s="35" t="n">
        <f aca="false">AX30*BI30</f>
        <v>370282.15286102</v>
      </c>
    </row>
    <row r="31" customFormat="false" ht="15" hidden="false" customHeight="false" outlineLevel="0" collapsed="false">
      <c r="A31" s="0"/>
      <c r="B31" s="20"/>
      <c r="C31" s="15" t="n">
        <f aca="false">MOD(C30+3,24)</f>
        <v>15</v>
      </c>
      <c r="D31" s="105" t="n">
        <v>4</v>
      </c>
      <c r="E31" s="102" t="n">
        <f aca="false">input!$C$2</f>
        <v>10</v>
      </c>
      <c r="F31" s="102" t="n">
        <f aca="false">input!$D$2</f>
        <v>2022</v>
      </c>
      <c r="H31" s="39" t="n">
        <f aca="false">AM31</f>
        <v>27.5073643242771</v>
      </c>
      <c r="I31" s="48" t="n">
        <f aca="false">H31+1.02/(TAN($A$4*(H31+10.3/(H31+5.11)))*60)</f>
        <v>27.5395761435299</v>
      </c>
      <c r="J31" s="39" t="n">
        <f aca="false">100*(1+COS($A$4*AQ31))/2</f>
        <v>68.2768302573597</v>
      </c>
      <c r="K31" s="48" t="n">
        <f aca="false">IF(AI31&gt;180,AT31-180,AT31+180)</f>
        <v>106.432342752465</v>
      </c>
      <c r="L31" s="10" t="n">
        <f aca="false">L30+1/8</f>
        <v>2459857.125</v>
      </c>
      <c r="M31" s="49" t="n">
        <f aca="false">(L31-2451545)/36525</f>
        <v>0.227573579739904</v>
      </c>
      <c r="N31" s="15" t="n">
        <f aca="false">MOD(280.46061837+360.98564736629*(L31-2451545)+0.000387933*M31^2-M31^3/38710000+$G$4,360)</f>
        <v>238.2847529836</v>
      </c>
      <c r="O31" s="18" t="n">
        <f aca="false">0.60643382+1336.85522467*M31 - 0.00000313*M31^2 - INT(0.60643382+1336.85522467*M31 - 0.00000313*M31^2)</f>
        <v>0.839362730043888</v>
      </c>
      <c r="P31" s="15" t="n">
        <f aca="false">22640*SIN(Q31)-4586*SIN(Q31-2*S31)+2370*SIN(2*S31)+769*SIN(2*Q31)-668*SIN(R31)-412*SIN(2*T31)-212*SIN(2*Q31-2*S31)-206*SIN(Q31+R31-2*S31)+192*SIN(Q31+2*S31)-165*SIN(R31-2*S31)-125*SIN(S31)-110*SIN(Q31+R31)+148*SIN(Q31-R31)-55*SIN(2*T31-2*S31)</f>
        <v>2133.47687650632</v>
      </c>
      <c r="Q31" s="18" t="n">
        <f aca="false">2*PI()*(0.374897+1325.55241*M31 - INT(0.374897+1325.55241*M31))</f>
        <v>0.22370701069922</v>
      </c>
      <c r="R31" s="26" t="n">
        <f aca="false">2*PI()*(0.99312619+99.99735956*M31 - 0.00000044*M31^2 - INT(0.99312619+99.99735956*M31- 0.00000044*M31^2))</f>
        <v>4.71165539851985</v>
      </c>
      <c r="S31" s="26" t="n">
        <f aca="false">2*PI()*(0.827361+1236.853086*M31 - INT(0.827361+1236.853086*M31))</f>
        <v>1.90032045183131</v>
      </c>
      <c r="T31" s="26" t="n">
        <f aca="false">2*PI()*(0.259086+1342.227825*M31 - INT(0.259086+1342.227825*M31))</f>
        <v>4.49044778548271</v>
      </c>
      <c r="U31" s="26" t="n">
        <f aca="false">T31+(P31+412*SIN(2*T31)+541*SIN(R31))/206264.8062</f>
        <v>4.49902612697842</v>
      </c>
      <c r="V31" s="26" t="n">
        <f aca="false">T31-2*S31</f>
        <v>0.689806881820091</v>
      </c>
      <c r="W31" s="25" t="n">
        <f aca="false">-526*SIN(V31)+44*SIN(Q31+V31)-31*SIN(-Q31+V31)-23*SIN(R31+V31)+11*SIN(-R31+V31)-25*SIN(-2*Q31+T31)+21*SIN(-Q31+T31)</f>
        <v>-286.950214842653</v>
      </c>
      <c r="X31" s="26" t="n">
        <f aca="false">2*PI()*(O31+P31/1296000-INT(O31+P31/1296000))</f>
        <v>5.28421496058651</v>
      </c>
      <c r="Y31" s="26" t="n">
        <f aca="false">(18520*SIN(U31)+W31)/206264.8062</f>
        <v>-0.0891426792972543</v>
      </c>
      <c r="Z31" s="26" t="n">
        <f aca="false">Y31*180/PI()</f>
        <v>-5.10749929822089</v>
      </c>
      <c r="AA31" s="26" t="n">
        <f aca="false">COS(Y31)*COS(X31)</f>
        <v>0.539019691112443</v>
      </c>
      <c r="AB31" s="26" t="n">
        <f aca="false">COS(Y31)*SIN(X31)</f>
        <v>-0.83757529903159</v>
      </c>
      <c r="AC31" s="26" t="n">
        <f aca="false">SIN(Y31)</f>
        <v>-0.0890246653753299</v>
      </c>
      <c r="AD31" s="26" t="n">
        <f aca="false">COS($A$4*(23.4393-46.815*M31/3600))*AB31-SIN($A$4*(23.4393-46.815*M31/3600))*AC31</f>
        <v>-0.733069696364381</v>
      </c>
      <c r="AE31" s="26" t="n">
        <f aca="false">SIN($A$4*(23.4393-46.815*M31/3600))*AB31+COS($A$4*(23.4393-46.815*M31/3600))*AC31</f>
        <v>-0.414809104125356</v>
      </c>
      <c r="AF31" s="26" t="n">
        <f aca="false">SQRT(1-AE31*AE31)</f>
        <v>0.909908460854563</v>
      </c>
      <c r="AG31" s="10" t="n">
        <f aca="false">ATAN(AE31/AF31)/$A$4</f>
        <v>-24.5072954377601</v>
      </c>
      <c r="AH31" s="26" t="n">
        <f aca="false">IF(24*ATAN(AD31/(AA31+AF31))/PI()&gt;0,24*ATAN(AD31/(AA31+AF31))/PI(),24*ATAN(AD31/(AA31+AF31))/PI()+24)</f>
        <v>20.4217811441622</v>
      </c>
      <c r="AI31" s="10" t="n">
        <f aca="false">IF(N31-15*AH31&gt;0,N31-15*AH31,360+N31-15*AH31)</f>
        <v>291.958035821167</v>
      </c>
      <c r="AJ31" s="18" t="n">
        <f aca="false">0.950724+0.051818*COS(Q31)+0.009531*COS(2*S31-Q31)+0.007843*COS(2*S31)+0.002824*COS(2*Q31)+0.000857*COS(2*S31+Q31)+0.000533*COS(2*S31-R31)+0.000401*COS(2*S31-R31-Q31)+0.00032*COS(Q31-R31)-0.000271*COS(S31)</f>
        <v>0.988922660650947</v>
      </c>
      <c r="AK31" s="50" t="n">
        <f aca="false">ASIN(COS($A$4*$G$2)*COS($A$4*AG31)*COS($A$4*AI31)+SIN($A$4*$G$2)*SIN($A$4*AG31))/$A$4</f>
        <v>28.3770053089999</v>
      </c>
      <c r="AL31" s="18" t="n">
        <f aca="false">ASIN((0.9983271+0.0016764*COS($A$4*2*$G$2))*COS($A$4*AK31)*SIN($A$4*AJ31))/$A$4</f>
        <v>0.869640984722763</v>
      </c>
      <c r="AM31" s="18" t="n">
        <f aca="false">AK31-AL31</f>
        <v>27.5073643242771</v>
      </c>
      <c r="AN31" s="10" t="n">
        <f aca="false"> IF(280.4664567 + 360007.6982779*M31/10 + 0.03032028*M31^2/100 + M31^3/49931000&lt;0,MOD(280.4664567 + 360007.6982779*M31/10 + 0.03032028*M31^2/100 + M31^3/49931000+360,360),MOD(280.4664567 + 360007.6982779*M31/10 + 0.03032028*M31^2/100 + M31^3/49931000,360))</f>
        <v>193.290535505532</v>
      </c>
      <c r="AO31" s="27" t="n">
        <f aca="false"> AN31 + (1.9146 - 0.004817*M31 - 0.000014*M31^2)*SIN(R31)+ (0.019993 - 0.000101*M31)*SIN(2*R31)+ 0.00029*SIN(3*R31)</f>
        <v>191.377352265959</v>
      </c>
      <c r="AP31" s="18" t="n">
        <f aca="false">ACOS(COS(X31-$A$4*AO31)*COS(Y31))/$A$4</f>
        <v>111.296799587374</v>
      </c>
      <c r="AQ31" s="25" t="n">
        <f aca="false">180 - AP31 -0.1468*(1-0.0549*SIN(R31))*SIN($A$4*AP31)/(1-0.0167*SIN($A$4*AO31))</f>
        <v>68.5593899727983</v>
      </c>
      <c r="AR31" s="25" t="n">
        <f aca="false">SIN($A$4*AI31)</f>
        <v>-0.927457972630211</v>
      </c>
      <c r="AS31" s="25" t="n">
        <f aca="false">COS($A$4*AI31)*SIN($A$4*$G$2) - TAN($A$4*AG31)*COS($A$4*$G$2)</f>
        <v>0.273534708556607</v>
      </c>
      <c r="AT31" s="25" t="n">
        <f aca="false">IF(OR(AND(AR31*AS31&gt;0), AND(AR31&lt;0,AS31&gt;0)), MOD(ATAN2(AS31,AR31)/$A$4+360,360),  ATAN2(AS31,AR31)/$A$4)</f>
        <v>286.432342752465</v>
      </c>
      <c r="AU31" s="29" t="n">
        <f aca="false">(1+SIN($A$4*H31)*SIN($A$4*AJ31))*120*ASIN(0.272481*SIN($A$4*AJ31))/$A$4</f>
        <v>32.5917752935921</v>
      </c>
      <c r="AV31" s="10" t="n">
        <f aca="false">COS(X31)</f>
        <v>0.5411684427709</v>
      </c>
      <c r="AW31" s="10" t="n">
        <f aca="false">SIN(X31)</f>
        <v>-0.840914214738292</v>
      </c>
      <c r="AX31" s="30" t="n">
        <f aca="false"> 385000.56 + (-20905355*COS(Q31) - 3699111*COS(2*S31-Q31) - 2955968*COS(2*S31) - 569925*COS(2*Q31) + (1-0.002516*M31)*48888*COS(R31) - 3149*COS(2*T31)  +246158*COS(2*S31-2*Q31) -(1-0.002516*M31)*152138*COS(2*S31-R31-Q31) -170733*COS(2*S31+Q31) -(1-0.002516*M31)*204586*COS(2*S31-R31) -(1-0.002516*M31)*129620*COS(R31-Q31)  + 108743*COS(S31) +(1-0.002516*M31)*104755*COS(R31+Q31) +10321*COS(2*S31-2*T31) +79661*COS(Q31-2*T31) -34782*COS(4*S31-Q31) -23210*COS(3*Q31)  -21636*COS(4*S31-2*Q31) +(1-0.002516*M31)*24208*COS(2*S31+R31-Q31) +(1-0.002516*M31)*30824*COS(2*S31+R31) -8379*COS(S31-Q31) -(1-0.002516*M31)*16675*COS(S31+R31)  -(1-0.002516*M31)*12831*COS(2*S31-R31+Q31) -10445*COS(2*S31+2*Q31) -11650*COS(4*S31) +14403*COS(2*S31-3*Q31) -(1-0.002516*M31)*7003*COS(R31-2*Q31)  + (1-0.002516*M31)*10056*COS(2*S31-R31-2*Q31) +6322*COS(S31+Q31) -(1-0.002516*M31)*(1-0.002516*M31)*9884*COS(2*S31-2*R31) +(1-0.002516*M31)*5751*COS(R31+2*Q31) -(1-0.002516*M31)*(1-0.002516*M31)*4950*COS(2*S31-2*R31-Q31)  +4130*COS(2*S31+Q31-2*T31) -(1-0.002516*M31)*3958*COS(4*S31-R31-Q31) +3258*COS(3*S31-Q31) +(1-0.002516*M31)*2616*COS(2*S31+R31+Q31) -(1-0.002516*M31)*1897*COS(4*S31-R31-2*Q31)  -(1-0.002516*M31)*(1-0.002516*M31)*2117*COS(2*R31-Q31) +(1-0.002516*M31)*(1-0.002516*M31)*2354*COS(2*S31+2*R31-Q31) -1423*COS(4*S31+Q31) -1117*COS(4*Q31) -(1-0.002516*M31)*1571*COS(4*S31-R31)  -1739*COS(S31-2*Q31) -4421*COS(2*Q31-2*T31) +(1-0.002516*M31)*(1-0.002516*M31)*1165*COS(2*R31+Q31) +8752*COS(2*S31-Q31-2*T31))/1000</f>
        <v>369328.895340849</v>
      </c>
      <c r="AY31" s="10" t="n">
        <f aca="false">AY30+1/8</f>
        <v>4.625</v>
      </c>
      <c r="AZ31" s="17" t="n">
        <f aca="false">AZ30+1</f>
        <v>30</v>
      </c>
      <c r="BA31" s="32" t="n">
        <f aca="false">ATAN(0.99664719*TAN($A$4*input!$E$2))</f>
        <v>-0.400219206115995</v>
      </c>
      <c r="BB31" s="32" t="n">
        <f aca="false">COS(BA31)</f>
        <v>0.920975608992155</v>
      </c>
      <c r="BC31" s="32" t="n">
        <f aca="false">0.99664719*SIN(BA31)</f>
        <v>-0.388313912533463</v>
      </c>
      <c r="BD31" s="32" t="n">
        <f aca="false">6378.14/AX31</f>
        <v>0.0172695396446403</v>
      </c>
      <c r="BE31" s="33" t="n">
        <f aca="false">MOD(N31-15*AH31,360)</f>
        <v>291.958035821167</v>
      </c>
      <c r="BF31" s="27" t="n">
        <f aca="false">COS($A$4*AG31)*SIN($A$4*BE31)</f>
        <v>-0.843901856383248</v>
      </c>
      <c r="BG31" s="27" t="n">
        <f aca="false">COS($A$4*AG31)*COS($A$4*BE31)-BB31*BD31</f>
        <v>0.324334890597232</v>
      </c>
      <c r="BH31" s="27" t="n">
        <f aca="false">SIN($A$4*AG31)-BC31*BD31</f>
        <v>-0.408103101618294</v>
      </c>
      <c r="BI31" s="46" t="n">
        <f aca="false">SQRT(BF31^2+BG31^2+BH31^2)</f>
        <v>0.991923185542249</v>
      </c>
      <c r="BJ31" s="35" t="n">
        <f aca="false">AX31*BI31</f>
        <v>366345.894379294</v>
      </c>
    </row>
    <row r="32" customFormat="false" ht="15" hidden="false" customHeight="false" outlineLevel="0" collapsed="false">
      <c r="A32" s="0"/>
      <c r="B32" s="20"/>
      <c r="C32" s="15" t="n">
        <f aca="false">MOD(C31+3,24)</f>
        <v>18</v>
      </c>
      <c r="D32" s="105" t="n">
        <v>4</v>
      </c>
      <c r="E32" s="102" t="n">
        <f aca="false">input!$C$2</f>
        <v>10</v>
      </c>
      <c r="F32" s="102" t="n">
        <f aca="false">input!$D$2</f>
        <v>2022</v>
      </c>
      <c r="H32" s="39" t="n">
        <f aca="false">AM32</f>
        <v>66.8716275077936</v>
      </c>
      <c r="I32" s="48" t="n">
        <f aca="false">H32+1.02/(TAN($A$4*(H32+10.3/(H32+5.11)))*60)</f>
        <v>66.878838425934</v>
      </c>
      <c r="J32" s="39" t="n">
        <f aca="false">100*(1+COS($A$4*AQ32))/2</f>
        <v>69.6081512914152</v>
      </c>
      <c r="K32" s="48" t="n">
        <f aca="false">IF(AI32&gt;180,AT32-180,AT32+180)</f>
        <v>97.7628199912302</v>
      </c>
      <c r="L32" s="10" t="n">
        <f aca="false">L31+1/8</f>
        <v>2459857.25</v>
      </c>
      <c r="M32" s="49" t="n">
        <f aca="false">(L32-2451545)/36525</f>
        <v>0.227577002053388</v>
      </c>
      <c r="N32" s="15" t="n">
        <f aca="false">MOD(280.46061837+360.98564736629*(L32-2451545)+0.000387933*M32^2-M32^3/38710000+$G$4,360)</f>
        <v>283.407958905213</v>
      </c>
      <c r="O32" s="18" t="n">
        <f aca="false">0.60643382+1336.85522467*M32 - 0.00000313*M32^2 - INT(0.60643382+1336.85522467*M32 - 0.00000313*M32^2)</f>
        <v>0.843937867700504</v>
      </c>
      <c r="P32" s="15" t="n">
        <f aca="false">22640*SIN(Q32)-4586*SIN(Q32-2*S32)+2370*SIN(2*S32)+769*SIN(2*Q32)-668*SIN(R32)-412*SIN(2*T32)-212*SIN(2*Q32-2*S32)-206*SIN(Q32+R32-2*S32)+192*SIN(Q32+2*S32)-165*SIN(R32-2*S32)-125*SIN(S32)-110*SIN(Q32+R32)+148*SIN(Q32-R32)-55*SIN(2*T32-2*S32)</f>
        <v>2619.64725128789</v>
      </c>
      <c r="Q32" s="18" t="n">
        <f aca="false">2*PI()*(0.374897+1325.55241*M32 - INT(0.374897+1325.55241*M32))</f>
        <v>0.252210403671376</v>
      </c>
      <c r="R32" s="26" t="n">
        <f aca="false">2*PI()*(0.99312619+99.99735956*M32 - 0.00000044*M32^2 - INT(0.99312619+99.99735956*M32- 0.00000044*M32^2))</f>
        <v>4.71380564471797</v>
      </c>
      <c r="S32" s="26" t="n">
        <f aca="false">2*PI()*(0.827361+1236.853086*M32 - INT(0.827361+1236.853086*M32))</f>
        <v>1.92691654059623</v>
      </c>
      <c r="T32" s="26" t="n">
        <f aca="false">2*PI()*(0.259086+1342.227825*M32 - INT(0.259086+1342.227825*M32))</f>
        <v>4.51930975040047</v>
      </c>
      <c r="U32" s="26" t="n">
        <f aca="false">T32+(P32+412*SIN(2*T32)+541*SIN(R32))/206264.8062</f>
        <v>4.53013961732345</v>
      </c>
      <c r="V32" s="26" t="n">
        <f aca="false">T32-2*S32</f>
        <v>0.665476669208005</v>
      </c>
      <c r="W32" s="25" t="n">
        <f aca="false">-526*SIN(V32)+44*SIN(Q32+V32)-31*SIN(-Q32+V32)-23*SIN(R32+V32)+11*SIN(-R32+V32)-25*SIN(-2*Q32+T32)+21*SIN(-Q32+T32)</f>
        <v>-275.331633521924</v>
      </c>
      <c r="X32" s="26" t="n">
        <f aca="false">2*PI()*(O32+P32/1296000-INT(O32+P32/1296000))</f>
        <v>5.31531841877933</v>
      </c>
      <c r="Y32" s="26" t="n">
        <f aca="false">(18520*SIN(U32)+W32)/206264.8062</f>
        <v>-0.0896353237624688</v>
      </c>
      <c r="Z32" s="26" t="n">
        <f aca="false">Y32*180/PI()</f>
        <v>-5.13572574687816</v>
      </c>
      <c r="AA32" s="26" t="n">
        <f aca="false">COS(Y32)*COS(X32)</f>
        <v>0.5647813312808</v>
      </c>
      <c r="AB32" s="26" t="n">
        <f aca="false">COS(Y32)*SIN(X32)</f>
        <v>-0.820371288634639</v>
      </c>
      <c r="AC32" s="26" t="n">
        <f aca="false">SIN(Y32)</f>
        <v>-0.0895153429342094</v>
      </c>
      <c r="AD32" s="26" t="n">
        <f aca="false">COS($A$4*(23.4393-46.815*M32/3600))*AB32-SIN($A$4*(23.4393-46.815*M32/3600))*AC32</f>
        <v>-0.717089816219804</v>
      </c>
      <c r="AE32" s="26" t="n">
        <f aca="false">SIN($A$4*(23.4393-46.815*M32/3600))*AB32+COS($A$4*(23.4393-46.815*M32/3600))*AC32</f>
        <v>-0.408416751995477</v>
      </c>
      <c r="AF32" s="26" t="n">
        <f aca="false">SQRT(1-AE32*AE32)</f>
        <v>0.912795572233709</v>
      </c>
      <c r="AG32" s="10" t="n">
        <f aca="false">ATAN(AE32/AF32)/$A$4</f>
        <v>-24.1054163723971</v>
      </c>
      <c r="AH32" s="26" t="n">
        <f aca="false">IF(24*ATAN(AD32/(AA32+AF32))/PI()&gt;0,24*ATAN(AD32/(AA32+AF32))/PI(),24*ATAN(AD32/(AA32+AF32))/PI()+24)</f>
        <v>20.5482691307658</v>
      </c>
      <c r="AI32" s="10" t="n">
        <f aca="false">IF(N32-15*AH32&gt;0,N32-15*AH32,360+N32-15*AH32)</f>
        <v>335.183921943725</v>
      </c>
      <c r="AJ32" s="18" t="n">
        <f aca="false">0.950724+0.051818*COS(Q32)+0.009531*COS(2*S32-Q32)+0.007843*COS(2*S32)+0.002824*COS(2*Q32)+0.000857*COS(2*S32+Q32)+0.000533*COS(2*S32-R32)+0.000401*COS(2*S32-R32-Q32)+0.00032*COS(Q32-R32)-0.000271*COS(S32)</f>
        <v>0.988950388960114</v>
      </c>
      <c r="AK32" s="50" t="n">
        <f aca="false">ASIN(COS($A$4*$G$2)*COS($A$4*AG32)*COS($A$4*AI32)+SIN($A$4*$G$2)*SIN($A$4*AG32))/$A$4</f>
        <v>67.2537945292139</v>
      </c>
      <c r="AL32" s="18" t="n">
        <f aca="false">ASIN((0.9983271+0.0016764*COS($A$4*2*$G$2))*COS($A$4*AK32)*SIN($A$4*AJ32))/$A$4</f>
        <v>0.382167021420317</v>
      </c>
      <c r="AM32" s="18" t="n">
        <f aca="false">AK32-AL32</f>
        <v>66.8716275077936</v>
      </c>
      <c r="AN32" s="10" t="n">
        <f aca="false"> IF(280.4664567 + 360007.6982779*M32/10 + 0.03032028*M32^2/100 + M32^3/49931000&lt;0,MOD(280.4664567 + 360007.6982779*M32/10 + 0.03032028*M32^2/100 + M32^3/49931000+360,360),MOD(280.4664567 + 360007.6982779*M32/10 + 0.03032028*M32^2/100 + M32^3/49931000,360))</f>
        <v>193.413741426019</v>
      </c>
      <c r="AO32" s="27" t="n">
        <f aca="false"> AN32 + (1.9146 - 0.004817*M32 - 0.000014*M32^2)*SIN(R32)+ (0.019993 - 0.000101*M32)*SIN(2*R32)+ 0.00029*SIN(3*R32)</f>
        <v>191.500473725497</v>
      </c>
      <c r="AP32" s="18" t="n">
        <f aca="false">ACOS(COS(X32-$A$4*AO32)*COS(Y32))/$A$4</f>
        <v>112.947024909733</v>
      </c>
      <c r="AQ32" s="25" t="n">
        <f aca="false">180 - AP32 -0.1468*(1-0.0549*SIN(R32))*SIN($A$4*AP32)/(1-0.0167*SIN($A$4*AO32))</f>
        <v>66.9108436954066</v>
      </c>
      <c r="AR32" s="25" t="n">
        <f aca="false">SIN($A$4*AI32)</f>
        <v>-0.419706801922672</v>
      </c>
      <c r="AS32" s="25" t="n">
        <f aca="false">COS($A$4*AI32)*SIN($A$4*$G$2) - TAN($A$4*AG32)*COS($A$4*$G$2)</f>
        <v>0.0572152409813306</v>
      </c>
      <c r="AT32" s="25" t="n">
        <f aca="false">IF(OR(AND(AR32*AS32&gt;0), AND(AR32&lt;0,AS32&gt;0)), MOD(ATAN2(AS32,AR32)/$A$4+360,360),  ATAN2(AS32,AR32)/$A$4)</f>
        <v>277.76281999123</v>
      </c>
      <c r="AU32" s="29" t="n">
        <f aca="false">(1+SIN($A$4*H32)*SIN($A$4*AJ32))*120*ASIN(0.272481*SIN($A$4*AJ32))/$A$4</f>
        <v>32.8481689249263</v>
      </c>
      <c r="AV32" s="10" t="n">
        <f aca="false">COS(X32)</f>
        <v>0.567057817006936</v>
      </c>
      <c r="AW32" s="10" t="n">
        <f aca="false">SIN(X32)</f>
        <v>-0.823677990583291</v>
      </c>
      <c r="AX32" s="30" t="n">
        <f aca="false"> 385000.56 + (-20905355*COS(Q32) - 3699111*COS(2*S32-Q32) - 2955968*COS(2*S32) - 569925*COS(2*Q32) + (1-0.002516*M32)*48888*COS(R32) - 3149*COS(2*T32)  +246158*COS(2*S32-2*Q32) -(1-0.002516*M32)*152138*COS(2*S32-R32-Q32) -170733*COS(2*S32+Q32) -(1-0.002516*M32)*204586*COS(2*S32-R32) -(1-0.002516*M32)*129620*COS(R32-Q32)  + 108743*COS(S32) +(1-0.002516*M32)*104755*COS(R32+Q32) +10321*COS(2*S32-2*T32) +79661*COS(Q32-2*T32) -34782*COS(4*S32-Q32) -23210*COS(3*Q32)  -21636*COS(4*S32-2*Q32) +(1-0.002516*M32)*24208*COS(2*S32+R32-Q32) +(1-0.002516*M32)*30824*COS(2*S32+R32) -8379*COS(S32-Q32) -(1-0.002516*M32)*16675*COS(S32+R32)  -(1-0.002516*M32)*12831*COS(2*S32-R32+Q32) -10445*COS(2*S32+2*Q32) -11650*COS(4*S32) +14403*COS(2*S32-3*Q32) -(1-0.002516*M32)*7003*COS(R32-2*Q32)  + (1-0.002516*M32)*10056*COS(2*S32-R32-2*Q32) +6322*COS(S32+Q32) -(1-0.002516*M32)*(1-0.002516*M32)*9884*COS(2*S32-2*R32) +(1-0.002516*M32)*5751*COS(R32+2*Q32) -(1-0.002516*M32)*(1-0.002516*M32)*4950*COS(2*S32-2*R32-Q32)  +4130*COS(2*S32+Q32-2*T32) -(1-0.002516*M32)*3958*COS(4*S32-R32-Q32) +3258*COS(3*S32-Q32) +(1-0.002516*M32)*2616*COS(2*S32+R32+Q32) -(1-0.002516*M32)*1897*COS(4*S32-R32-2*Q32)  -(1-0.002516*M32)*(1-0.002516*M32)*2117*COS(2*R32-Q32) +(1-0.002516*M32)*(1-0.002516*M32)*2354*COS(2*S32+2*R32-Q32) -1423*COS(4*S32+Q32) -1117*COS(4*Q32) -(1-0.002516*M32)*1571*COS(4*S32-R32)  -1739*COS(S32-2*Q32) -4421*COS(2*Q32-2*T32) +(1-0.002516*M32)*(1-0.002516*M32)*1165*COS(2*R32+Q32) +8752*COS(2*S32-Q32-2*T32))/1000</f>
        <v>369328.74829984</v>
      </c>
      <c r="AY32" s="10" t="n">
        <f aca="false">AY31+1/8</f>
        <v>4.75</v>
      </c>
      <c r="AZ32" s="17" t="n">
        <f aca="false">AZ31+1</f>
        <v>31</v>
      </c>
      <c r="BA32" s="32" t="n">
        <f aca="false">ATAN(0.99664719*TAN($A$4*input!$E$2))</f>
        <v>-0.400219206115995</v>
      </c>
      <c r="BB32" s="32" t="n">
        <f aca="false">COS(BA32)</f>
        <v>0.920975608992155</v>
      </c>
      <c r="BC32" s="32" t="n">
        <f aca="false">0.99664719*SIN(BA32)</f>
        <v>-0.388313912533463</v>
      </c>
      <c r="BD32" s="32" t="n">
        <f aca="false">6378.14/AX32</f>
        <v>0.0172695465201694</v>
      </c>
      <c r="BE32" s="33" t="n">
        <f aca="false">MOD(N32-15*AH32,360)</f>
        <v>335.183921943725</v>
      </c>
      <c r="BF32" s="27" t="n">
        <f aca="false">COS($A$4*AG32)*SIN($A$4*BE32)</f>
        <v>-0.383106510431386</v>
      </c>
      <c r="BG32" s="27" t="n">
        <f aca="false">COS($A$4*AG32)*COS($A$4*BE32)-BB32*BD32</f>
        <v>0.812602959035811</v>
      </c>
      <c r="BH32" s="27" t="n">
        <f aca="false">SIN($A$4*AG32)-BC32*BD32</f>
        <v>-0.401710746818552</v>
      </c>
      <c r="BI32" s="46" t="n">
        <f aca="false">SQRT(BF32^2+BG32^2+BH32^2)</f>
        <v>0.984106544779674</v>
      </c>
      <c r="BJ32" s="35" t="n">
        <f aca="false">AX32*BI32</f>
        <v>363458.838377157</v>
      </c>
    </row>
    <row r="33" customFormat="false" ht="15" hidden="false" customHeight="false" outlineLevel="0" collapsed="false">
      <c r="A33" s="0"/>
      <c r="B33" s="20"/>
      <c r="C33" s="15" t="n">
        <f aca="false">MOD(C32+3,24)</f>
        <v>21</v>
      </c>
      <c r="D33" s="105" t="n">
        <v>4</v>
      </c>
      <c r="E33" s="102" t="n">
        <f aca="false">input!$C$2</f>
        <v>10</v>
      </c>
      <c r="F33" s="102" t="n">
        <f aca="false">input!$D$2</f>
        <v>2022</v>
      </c>
      <c r="H33" s="39" t="n">
        <f aca="false">AM33</f>
        <v>72.796187734849</v>
      </c>
      <c r="I33" s="48" t="n">
        <f aca="false">H33+1.02/(TAN($A$4*(H33+10.3/(H33+5.11)))*60)</f>
        <v>72.801408395829</v>
      </c>
      <c r="J33" s="39" t="n">
        <f aca="false">100*(1+COS($A$4*AQ33))/2</f>
        <v>70.9233794467562</v>
      </c>
      <c r="K33" s="48" t="n">
        <f aca="false">IF(AI33&gt;180,AT33-180,AT33+180)</f>
        <v>264.041051302694</v>
      </c>
      <c r="L33" s="10" t="n">
        <f aca="false">L32+1/8</f>
        <v>2459857.375</v>
      </c>
      <c r="M33" s="49" t="n">
        <f aca="false">(L33-2451545)/36525</f>
        <v>0.227580424366872</v>
      </c>
      <c r="N33" s="15" t="n">
        <f aca="false">MOD(280.46061837+360.98564736629*(L33-2451545)+0.000387933*M33^2-M33^3/38710000+$G$4,360)</f>
        <v>328.531164826825</v>
      </c>
      <c r="O33" s="18" t="n">
        <f aca="false">0.60643382+1336.85522467*M33 - 0.00000313*M33^2 - INT(0.60643382+1336.85522467*M33 - 0.00000313*M33^2)</f>
        <v>0.848513005357006</v>
      </c>
      <c r="P33" s="15" t="n">
        <f aca="false">22640*SIN(Q33)-4586*SIN(Q33-2*S33)+2370*SIN(2*S33)+769*SIN(2*Q33)-668*SIN(R33)-412*SIN(2*T33)-212*SIN(2*Q33-2*S33)-206*SIN(Q33+R33-2*S33)+192*SIN(Q33+2*S33)-165*SIN(R33-2*S33)-125*SIN(S33)-110*SIN(Q33+R33)+148*SIN(Q33-R33)-55*SIN(2*T33-2*S33)</f>
        <v>3107.51138377009</v>
      </c>
      <c r="Q33" s="18" t="n">
        <f aca="false">2*PI()*(0.374897+1325.55241*M33 - INT(0.374897+1325.55241*M33))</f>
        <v>0.280713796643532</v>
      </c>
      <c r="R33" s="26" t="n">
        <f aca="false">2*PI()*(0.99312619+99.99735956*M33 - 0.00000044*M33^2 - INT(0.99312619+99.99735956*M33- 0.00000044*M33^2))</f>
        <v>4.71595589091608</v>
      </c>
      <c r="S33" s="26" t="n">
        <f aca="false">2*PI()*(0.827361+1236.853086*M33 - INT(0.827361+1236.853086*M33))</f>
        <v>1.95351262936116</v>
      </c>
      <c r="T33" s="26" t="n">
        <f aca="false">2*PI()*(0.259086+1342.227825*M33 - INT(0.259086+1342.227825*M33))</f>
        <v>4.54817171531823</v>
      </c>
      <c r="U33" s="26" t="n">
        <f aca="false">T33+(P33+412*SIN(2*T33)+541*SIN(R33))/206264.8062</f>
        <v>4.56125882536412</v>
      </c>
      <c r="V33" s="26" t="n">
        <f aca="false">T33-2*S33</f>
        <v>0.641146456595919</v>
      </c>
      <c r="W33" s="25" t="n">
        <f aca="false">-526*SIN(V33)+44*SIN(Q33+V33)-31*SIN(-Q33+V33)-23*SIN(R33+V33)+11*SIN(-R33+V33)-25*SIN(-2*Q33+T33)+21*SIN(-Q33+T33)</f>
        <v>-263.516814535059</v>
      </c>
      <c r="X33" s="26" t="n">
        <f aca="false">2*PI()*(O33+P33/1296000-INT(O33+P33/1296000))</f>
        <v>5.34643008854049</v>
      </c>
      <c r="Y33" s="26" t="n">
        <f aca="false">(18520*SIN(U33)+W33)/206264.8062</f>
        <v>-0.090041621814746</v>
      </c>
      <c r="Z33" s="26" t="n">
        <f aca="false">Y33*180/PI()</f>
        <v>-5.15900491049803</v>
      </c>
      <c r="AA33" s="26" t="n">
        <f aca="false">COS(Y33)*COS(X33)</f>
        <v>0.590005426167123</v>
      </c>
      <c r="AB33" s="26" t="n">
        <f aca="false">COS(Y33)*SIN(X33)</f>
        <v>-0.802376464165852</v>
      </c>
      <c r="AC33" s="26" t="n">
        <f aca="false">SIN(Y33)</f>
        <v>-0.0899200024802966</v>
      </c>
      <c r="AD33" s="26" t="n">
        <f aca="false">COS($A$4*(23.4393-46.815*M33/3600))*AB33-SIN($A$4*(23.4393-46.815*M33/3600))*AC33</f>
        <v>-0.700418574077617</v>
      </c>
      <c r="AE33" s="26" t="n">
        <f aca="false">SIN($A$4*(23.4393-46.815*M33/3600))*AB33+COS($A$4*(23.4393-46.815*M33/3600))*AC33</f>
        <v>-0.401630947737385</v>
      </c>
      <c r="AF33" s="26" t="n">
        <f aca="false">SQRT(1-AE33*AE33)</f>
        <v>0.915801606145988</v>
      </c>
      <c r="AG33" s="10" t="n">
        <f aca="false">ATAN(AE33/AF33)/$A$4</f>
        <v>-23.6801765607145</v>
      </c>
      <c r="AH33" s="26" t="n">
        <f aca="false">IF(24*ATAN(AD33/(AA33+AF33))/PI()&gt;0,24*ATAN(AD33/(AA33+AF33))/PI(),24*ATAN(AD33/(AA33+AF33))/PI()+24)</f>
        <v>20.6739657373488</v>
      </c>
      <c r="AI33" s="10" t="n">
        <f aca="false">IF(N33-15*AH33&gt;0,N33-15*AH33,360+N33-15*AH33)</f>
        <v>18.4216787665928</v>
      </c>
      <c r="AJ33" s="18" t="n">
        <f aca="false">0.950724+0.051818*COS(Q33)+0.009531*COS(2*S33-Q33)+0.007843*COS(2*S33)+0.002824*COS(2*Q33)+0.000857*COS(2*S33+Q33)+0.000533*COS(2*S33-R33)+0.000401*COS(2*S33-R33-Q33)+0.00032*COS(Q33-R33)-0.000271*COS(S33)</f>
        <v>0.988953568259099</v>
      </c>
      <c r="AK33" s="50" t="n">
        <f aca="false">ASIN(COS($A$4*$G$2)*COS($A$4*AG33)*COS($A$4*AI33)+SIN($A$4*$G$2)*SIN($A$4*AG33))/$A$4</f>
        <v>73.0837870899897</v>
      </c>
      <c r="AL33" s="18" t="n">
        <f aca="false">ASIN((0.9983271+0.0016764*COS($A$4*2*$G$2))*COS($A$4*AK33)*SIN($A$4*AJ33))/$A$4</f>
        <v>0.287599355140733</v>
      </c>
      <c r="AM33" s="18" t="n">
        <f aca="false">AK33-AL33</f>
        <v>72.796187734849</v>
      </c>
      <c r="AN33" s="10" t="n">
        <f aca="false"> IF(280.4664567 + 360007.6982779*M33/10 + 0.03032028*M33^2/100 + M33^3/49931000&lt;0,MOD(280.4664567 + 360007.6982779*M33/10 + 0.03032028*M33^2/100 + M33^3/49931000+360,360),MOD(280.4664567 + 360007.6982779*M33/10 + 0.03032028*M33^2/100 + M33^3/49931000,360))</f>
        <v>193.536947346503</v>
      </c>
      <c r="AO33" s="27" t="n">
        <f aca="false"> AN33 + (1.9146 - 0.004817*M33 - 0.000014*M33^2)*SIN(R33)+ (0.019993 - 0.000101*M33)*SIN(2*R33)+ 0.00029*SIN(3*R33)</f>
        <v>191.623604021197</v>
      </c>
      <c r="AP33" s="18" t="n">
        <f aca="false">ACOS(COS(X33-$A$4*AO33)*COS(Y33))/$A$4</f>
        <v>114.597543504051</v>
      </c>
      <c r="AQ33" s="25" t="n">
        <f aca="false">180 - AP33 -0.1468*(1-0.0549*SIN(R33))*SIN($A$4*AP33)/(1-0.0167*SIN($A$4*AO33))</f>
        <v>65.2621222814538</v>
      </c>
      <c r="AR33" s="25" t="n">
        <f aca="false">SIN($A$4*AI33)</f>
        <v>0.316008036627525</v>
      </c>
      <c r="AS33" s="25" t="n">
        <f aca="false">COS($A$4*AI33)*SIN($A$4*$G$2) - TAN($A$4*AG33)*COS($A$4*$G$2)</f>
        <v>0.0329848854948222</v>
      </c>
      <c r="AT33" s="25" t="n">
        <f aca="false">IF(OR(AND(AR33*AS33&gt;0), AND(AR33&lt;0,AS33&gt;0)), MOD(ATAN2(AS33,AR33)/$A$4+360,360),  ATAN2(AS33,AR33)/$A$4)</f>
        <v>84.0410513026935</v>
      </c>
      <c r="AU33" s="29" t="n">
        <f aca="false">(1+SIN($A$4*H33)*SIN($A$4*AJ33))*120*ASIN(0.272481*SIN($A$4*AJ33))/$A$4</f>
        <v>32.8681618360034</v>
      </c>
      <c r="AV33" s="10" t="n">
        <f aca="false">COS(X33)</f>
        <v>0.592405265084866</v>
      </c>
      <c r="AW33" s="10" t="n">
        <f aca="false">SIN(X33)</f>
        <v>-0.805640119345933</v>
      </c>
      <c r="AX33" s="30" t="n">
        <f aca="false"> 385000.56 + (-20905355*COS(Q33) - 3699111*COS(2*S33-Q33) - 2955968*COS(2*S33) - 569925*COS(2*Q33) + (1-0.002516*M33)*48888*COS(R33) - 3149*COS(2*T33)  +246158*COS(2*S33-2*Q33) -(1-0.002516*M33)*152138*COS(2*S33-R33-Q33) -170733*COS(2*S33+Q33) -(1-0.002516*M33)*204586*COS(2*S33-R33) -(1-0.002516*M33)*129620*COS(R33-Q33)  + 108743*COS(S33) +(1-0.002516*M33)*104755*COS(R33+Q33) +10321*COS(2*S33-2*T33) +79661*COS(Q33-2*T33) -34782*COS(4*S33-Q33) -23210*COS(3*Q33)  -21636*COS(4*S33-2*Q33) +(1-0.002516*M33)*24208*COS(2*S33+R33-Q33) +(1-0.002516*M33)*30824*COS(2*S33+R33) -8379*COS(S33-Q33) -(1-0.002516*M33)*16675*COS(S33+R33)  -(1-0.002516*M33)*12831*COS(2*S33-R33+Q33) -10445*COS(2*S33+2*Q33) -11650*COS(4*S33) +14403*COS(2*S33-3*Q33) -(1-0.002516*M33)*7003*COS(R33-2*Q33)  + (1-0.002516*M33)*10056*COS(2*S33-R33-2*Q33) +6322*COS(S33+Q33) -(1-0.002516*M33)*(1-0.002516*M33)*9884*COS(2*S33-2*R33) +(1-0.002516*M33)*5751*COS(R33+2*Q33) -(1-0.002516*M33)*(1-0.002516*M33)*4950*COS(2*S33-2*R33-Q33)  +4130*COS(2*S33+Q33-2*T33) -(1-0.002516*M33)*3958*COS(4*S33-R33-Q33) +3258*COS(3*S33-Q33) +(1-0.002516*M33)*2616*COS(2*S33+R33+Q33) -(1-0.002516*M33)*1897*COS(4*S33-R33-2*Q33)  -(1-0.002516*M33)*(1-0.002516*M33)*2117*COS(2*R33-Q33) +(1-0.002516*M33)*(1-0.002516*M33)*2354*COS(2*S33+2*R33-Q33) -1423*COS(4*S33+Q33) -1117*COS(4*Q33) -(1-0.002516*M33)*1571*COS(4*S33-R33)  -1739*COS(S33-2*Q33) -4421*COS(2*Q33-2*T33) +(1-0.002516*M33)*(1-0.002516*M33)*1165*COS(2*R33+Q33) +8752*COS(2*S33-Q33-2*T33))/1000</f>
        <v>369338.431375864</v>
      </c>
      <c r="AY33" s="10" t="n">
        <f aca="false">AY32+1/8</f>
        <v>4.875</v>
      </c>
      <c r="AZ33" s="17" t="n">
        <f aca="false">AZ32+1</f>
        <v>32</v>
      </c>
      <c r="BA33" s="32" t="n">
        <f aca="false">ATAN(0.99664719*TAN($A$4*input!$E$2))</f>
        <v>-0.400219206115995</v>
      </c>
      <c r="BB33" s="32" t="n">
        <f aca="false">COS(BA33)</f>
        <v>0.920975608992155</v>
      </c>
      <c r="BC33" s="32" t="n">
        <f aca="false">0.99664719*SIN(BA33)</f>
        <v>-0.388313912533463</v>
      </c>
      <c r="BD33" s="32" t="n">
        <f aca="false">6378.14/AX33</f>
        <v>0.0172690937583724</v>
      </c>
      <c r="BE33" s="33" t="n">
        <f aca="false">MOD(N33-15*AH33,360)</f>
        <v>18.4216787665928</v>
      </c>
      <c r="BF33" s="27" t="n">
        <f aca="false">COS($A$4*AG33)*SIN($A$4*BE33)</f>
        <v>0.289400667498528</v>
      </c>
      <c r="BG33" s="27" t="n">
        <f aca="false">COS($A$4*AG33)*COS($A$4*BE33)-BB33*BD33</f>
        <v>0.852968324222462</v>
      </c>
      <c r="BH33" s="27" t="n">
        <f aca="false">SIN($A$4*AG33)-BC33*BD33</f>
        <v>-0.394925118374164</v>
      </c>
      <c r="BI33" s="46" t="n">
        <f aca="false">SQRT(BF33^2+BG33^2+BH33^2)</f>
        <v>0.983500664767602</v>
      </c>
      <c r="BJ33" s="35" t="n">
        <f aca="false">AX33*BI33</f>
        <v>363244.592782386</v>
      </c>
    </row>
    <row r="34" customFormat="false" ht="15" hidden="false" customHeight="false" outlineLevel="0" collapsed="false">
      <c r="A34" s="20"/>
      <c r="B34" s="20"/>
      <c r="C34" s="15" t="n">
        <f aca="false">MOD(C33+3,24)</f>
        <v>0</v>
      </c>
      <c r="D34" s="36" t="n">
        <v>5</v>
      </c>
      <c r="E34" s="102" t="n">
        <f aca="false">input!$C$2</f>
        <v>10</v>
      </c>
      <c r="F34" s="102" t="n">
        <f aca="false">input!$D$2</f>
        <v>2022</v>
      </c>
      <c r="G34" s="0"/>
      <c r="H34" s="39" t="n">
        <f aca="false">AM34</f>
        <v>32.9239112906935</v>
      </c>
      <c r="I34" s="48" t="n">
        <f aca="false">H34+1.02/(TAN($A$4*(H34+10.3/(H34+5.11)))*60)</f>
        <v>32.9498952373048</v>
      </c>
      <c r="J34" s="39" t="n">
        <f aca="false">100*(1+COS($A$4*AQ34))/2</f>
        <v>72.2213661322152</v>
      </c>
      <c r="K34" s="48" t="n">
        <f aca="false">IF(AI34&gt;180,AT34-180,AT34+180)</f>
        <v>256.598342393642</v>
      </c>
      <c r="L34" s="10" t="n">
        <f aca="false">L33+1/8</f>
        <v>2459857.5</v>
      </c>
      <c r="M34" s="49" t="n">
        <f aca="false">(L34-2451545)/36525</f>
        <v>0.227583846680356</v>
      </c>
      <c r="N34" s="15" t="n">
        <f aca="false">MOD(280.46061837+360.98564736629*(L34-2451545)+0.000387933*M34^2-M34^3/38710000+$G$4,360)</f>
        <v>13.6543707479723</v>
      </c>
      <c r="O34" s="18" t="n">
        <f aca="false">0.60643382+1336.85522467*M34 - 0.00000313*M34^2 - INT(0.60643382+1336.85522467*M34 - 0.00000313*M34^2)</f>
        <v>0.853088143013565</v>
      </c>
      <c r="P34" s="15" t="n">
        <f aca="false">22640*SIN(Q34)-4586*SIN(Q34-2*S34)+2370*SIN(2*S34)+769*SIN(2*Q34)-668*SIN(R34)-412*SIN(2*T34)-212*SIN(2*Q34-2*S34)-206*SIN(Q34+R34-2*S34)+192*SIN(Q34+2*S34)-165*SIN(R34-2*S34)-125*SIN(S34)-110*SIN(Q34+R34)+148*SIN(Q34-R34)-55*SIN(2*T34-2*S34)</f>
        <v>3596.73266098284</v>
      </c>
      <c r="Q34" s="18" t="n">
        <f aca="false">2*PI()*(0.374897+1325.55241*M34 - INT(0.374897+1325.55241*M34))</f>
        <v>0.30921718961533</v>
      </c>
      <c r="R34" s="26" t="n">
        <f aca="false">2*PI()*(0.99312619+99.99735956*M34 - 0.00000044*M34^2 - INT(0.99312619+99.99735956*M34- 0.00000044*M34^2))</f>
        <v>4.71810613711416</v>
      </c>
      <c r="S34" s="26" t="n">
        <f aca="false">2*PI()*(0.827361+1236.853086*M34 - INT(0.827361+1236.853086*M34))</f>
        <v>1.98010871812572</v>
      </c>
      <c r="T34" s="26" t="n">
        <f aca="false">2*PI()*(0.259086+1342.227825*M34 - INT(0.259086+1342.227825*M34))</f>
        <v>4.57703368023564</v>
      </c>
      <c r="U34" s="26" t="n">
        <f aca="false">T34+(P34+412*SIN(2*T34)+541*SIN(R34))/206264.8062</f>
        <v>4.59238247892595</v>
      </c>
      <c r="V34" s="26" t="n">
        <f aca="false">T34-2*S34</f>
        <v>0.61681624398419</v>
      </c>
      <c r="W34" s="25" t="n">
        <f aca="false">-526*SIN(V34)+44*SIN(Q34+V34)-31*SIN(-Q34+V34)-23*SIN(R34+V34)+11*SIN(-R34+V34)-25*SIN(-2*Q34+T34)+21*SIN(-Q34+T34)</f>
        <v>-251.515920415585</v>
      </c>
      <c r="X34" s="26" t="n">
        <f aca="false">2*PI()*(O34+P34/1296000-INT(O34+P34/1296000))</f>
        <v>5.37754833792533</v>
      </c>
      <c r="Y34" s="26" t="n">
        <f aca="false">(18520*SIN(U34)+W34)/206264.8062</f>
        <v>-0.0903611129073505</v>
      </c>
      <c r="Z34" s="26" t="n">
        <f aca="false">Y34*180/PI()</f>
        <v>-5.17731040169629</v>
      </c>
      <c r="AA34" s="26" t="n">
        <f aca="false">COS(Y34)*COS(X34)</f>
        <v>0.614666543851775</v>
      </c>
      <c r="AB34" s="26" t="n">
        <f aca="false">COS(Y34)*SIN(X34)</f>
        <v>-0.78360838949282</v>
      </c>
      <c r="AC34" s="26" t="n">
        <f aca="false">SIN(Y34)</f>
        <v>-0.0902381947170009</v>
      </c>
      <c r="AD34" s="26" t="n">
        <f aca="false">COS($A$4*(23.4393-46.815*M34/3600))*AB34-SIN($A$4*(23.4393-46.815*M34/3600))*AC34</f>
        <v>-0.683072263528822</v>
      </c>
      <c r="AE34" s="26" t="n">
        <f aca="false">SIN($A$4*(23.4393-46.815*M34/3600))*AB34+COS($A$4*(23.4393-46.815*M34/3600))*AC34</f>
        <v>-0.394458264797336</v>
      </c>
      <c r="AF34" s="26" t="n">
        <f aca="false">SQRT(1-AE34*AE34)</f>
        <v>0.918913857406163</v>
      </c>
      <c r="AG34" s="10" t="n">
        <f aca="false">ATAN(AE34/AF34)/$A$4</f>
        <v>-23.2321917099182</v>
      </c>
      <c r="AH34" s="26" t="n">
        <f aca="false">IF(24*ATAN(AD34/(AA34+AF34))/PI()&gt;0,24*ATAN(AD34/(AA34+AF34))/PI(),24*ATAN(AD34/(AA34+AF34))/PI()+24)</f>
        <v>20.7988431842159</v>
      </c>
      <c r="AI34" s="10" t="n">
        <f aca="false">IF(N34-15*AH34&gt;0,N34-15*AH34,360+N34-15*AH34)</f>
        <v>61.6717229847343</v>
      </c>
      <c r="AJ34" s="18" t="n">
        <f aca="false">0.950724+0.051818*COS(Q34)+0.009531*COS(2*S34-Q34)+0.007843*COS(2*S34)+0.002824*COS(2*Q34)+0.000857*COS(2*S34+Q34)+0.000533*COS(2*S34-R34)+0.000401*COS(2*S34-R34-Q34)+0.00032*COS(Q34-R34)-0.000271*COS(S34)</f>
        <v>0.988931470404136</v>
      </c>
      <c r="AK34" s="50" t="n">
        <f aca="false">ASIN(COS($A$4*$G$2)*COS($A$4*AG34)*COS($A$4*AI34)+SIN($A$4*$G$2)*SIN($A$4*AG34))/$A$4</f>
        <v>33.7457874866778</v>
      </c>
      <c r="AL34" s="18" t="n">
        <f aca="false">ASIN((0.9983271+0.0016764*COS($A$4*2*$G$2))*COS($A$4*AK34)*SIN($A$4*AJ34))/$A$4</f>
        <v>0.821876195984278</v>
      </c>
      <c r="AM34" s="18" t="n">
        <f aca="false">AK34-AL34</f>
        <v>32.9239112906935</v>
      </c>
      <c r="AN34" s="10" t="n">
        <f aca="false"> IF(280.4664567 + 360007.6982779*M34/10 + 0.03032028*M34^2/100 + M34^3/49931000&lt;0,MOD(280.4664567 + 360007.6982779*M34/10 + 0.03032028*M34^2/100 + M34^3/49931000+360,360),MOD(280.4664567 + 360007.6982779*M34/10 + 0.03032028*M34^2/100 + M34^3/49931000,360))</f>
        <v>193.660153266988</v>
      </c>
      <c r="AO34" s="27" t="n">
        <f aca="false"> AN34 + (1.9146 - 0.004817*M34 - 0.000014*M34^2)*SIN(R34)+ (0.019993 - 0.000101*M34)*SIN(2*R34)+ 0.00029*SIN(3*R34)</f>
        <v>191.746743154602</v>
      </c>
      <c r="AP34" s="18" t="n">
        <f aca="false">ACOS(COS(X34-$A$4*AO34)*COS(Y34))/$A$4</f>
        <v>116.248284434479</v>
      </c>
      <c r="AQ34" s="25" t="n">
        <f aca="false">180 - AP34 -0.1468*(1-0.0549*SIN(R34))*SIN($A$4*AP34)/(1-0.0167*SIN($A$4*AO34))</f>
        <v>63.613295143923</v>
      </c>
      <c r="AR34" s="25" t="n">
        <f aca="false">SIN($A$4*AI34)</f>
        <v>0.880243270949639</v>
      </c>
      <c r="AS34" s="25" t="n">
        <f aca="false">COS($A$4*AI34)*SIN($A$4*$G$2) - TAN($A$4*AG34)*COS($A$4*$G$2)</f>
        <v>0.209730438526634</v>
      </c>
      <c r="AT34" s="25" t="n">
        <f aca="false">IF(OR(AND(AR34*AS34&gt;0), AND(AR34&lt;0,AS34&gt;0)), MOD(ATAN2(AS34,AR34)/$A$4+360,360),  ATAN2(AS34,AR34)/$A$4)</f>
        <v>76.5983423936423</v>
      </c>
      <c r="AU34" s="29" t="n">
        <f aca="false">(1+SIN($A$4*H34)*SIN($A$4*AJ34))*120*ASIN(0.272481*SIN($A$4*AJ34))/$A$4</f>
        <v>32.6376408074891</v>
      </c>
      <c r="AV34" s="10" t="n">
        <f aca="false">COS(X34)</f>
        <v>0.617184526016067</v>
      </c>
      <c r="AW34" s="10" t="n">
        <f aca="false">SIN(X34)</f>
        <v>-0.786818442111217</v>
      </c>
      <c r="AX34" s="30" t="n">
        <f aca="false"> 385000.56 + (-20905355*COS(Q34) - 3699111*COS(2*S34-Q34) - 2955968*COS(2*S34) - 569925*COS(2*Q34) + (1-0.002516*M34)*48888*COS(R34) - 3149*COS(2*T34)  +246158*COS(2*S34-2*Q34) -(1-0.002516*M34)*152138*COS(2*S34-R34-Q34) -170733*COS(2*S34+Q34) -(1-0.002516*M34)*204586*COS(2*S34-R34) -(1-0.002516*M34)*129620*COS(R34-Q34)  + 108743*COS(S34) +(1-0.002516*M34)*104755*COS(R34+Q34) +10321*COS(2*S34-2*T34) +79661*COS(Q34-2*T34) -34782*COS(4*S34-Q34) -23210*COS(3*Q34)  -21636*COS(4*S34-2*Q34) +(1-0.002516*M34)*24208*COS(2*S34+R34-Q34) +(1-0.002516*M34)*30824*COS(2*S34+R34) -8379*COS(S34-Q34) -(1-0.002516*M34)*16675*COS(S34+R34)  -(1-0.002516*M34)*12831*COS(2*S34-R34+Q34) -10445*COS(2*S34+2*Q34) -11650*COS(4*S34) +14403*COS(2*S34-3*Q34) -(1-0.002516*M34)*7003*COS(R34-2*Q34)  + (1-0.002516*M34)*10056*COS(2*S34-R34-2*Q34) +6322*COS(S34+Q34) -(1-0.002516*M34)*(1-0.002516*M34)*9884*COS(2*S34-2*R34) +(1-0.002516*M34)*5751*COS(R34+2*Q34) -(1-0.002516*M34)*(1-0.002516*M34)*4950*COS(2*S34-2*R34-Q34)  +4130*COS(2*S34+Q34-2*T34) -(1-0.002516*M34)*3958*COS(4*S34-R34-Q34) +3258*COS(3*S34-Q34) +(1-0.002516*M34)*2616*COS(2*S34+R34+Q34) -(1-0.002516*M34)*1897*COS(4*S34-R34-2*Q34)  -(1-0.002516*M34)*(1-0.002516*M34)*2117*COS(2*R34-Q34) +(1-0.002516*M34)*(1-0.002516*M34)*2354*COS(2*S34+2*R34-Q34) -1423*COS(4*S34+Q34) -1117*COS(4*Q34) -(1-0.002516*M34)*1571*COS(4*S34-R34)  -1739*COS(S34-2*Q34) -4421*COS(2*Q34-2*T34) +(1-0.002516*M34)*(1-0.002516*M34)*1165*COS(2*R34+Q34) +8752*COS(2*S34-Q34-2*T34))/1000</f>
        <v>369358.157960181</v>
      </c>
      <c r="AY34" s="10" t="n">
        <f aca="false">AY33+1/8</f>
        <v>5</v>
      </c>
      <c r="AZ34" s="17" t="n">
        <f aca="false">AZ33+1</f>
        <v>33</v>
      </c>
      <c r="BA34" s="32" t="n">
        <f aca="false">ATAN(0.99664719*TAN($A$4*input!$E$2))</f>
        <v>-0.400219206115995</v>
      </c>
      <c r="BB34" s="32" t="n">
        <f aca="false">COS(BA34)</f>
        <v>0.920975608992155</v>
      </c>
      <c r="BC34" s="32" t="n">
        <f aca="false">0.99664719*SIN(BA34)</f>
        <v>-0.388313912533463</v>
      </c>
      <c r="BD34" s="32" t="n">
        <f aca="false">6378.14/AX34</f>
        <v>0.01726817145511</v>
      </c>
      <c r="BE34" s="33" t="n">
        <f aca="false">MOD(N34-15*AH34,360)</f>
        <v>61.6717229847343</v>
      </c>
      <c r="BF34" s="27" t="n">
        <f aca="false">COS($A$4*AG34)*SIN($A$4*BE34)</f>
        <v>0.808867739564151</v>
      </c>
      <c r="BG34" s="27" t="n">
        <f aca="false">COS($A$4*AG34)*COS($A$4*BE34)-BB34*BD34</f>
        <v>0.420141911375862</v>
      </c>
      <c r="BH34" s="27" t="n">
        <f aca="false">SIN($A$4*AG34)-BC34*BD34</f>
        <v>-0.387752793577304</v>
      </c>
      <c r="BI34" s="46" t="n">
        <f aca="false">SQRT(BF34^2+BG34^2+BH34^2)</f>
        <v>0.990524343329928</v>
      </c>
      <c r="BJ34" s="35" t="n">
        <f aca="false">AX34*BI34</f>
        <v>365858.24686706</v>
      </c>
    </row>
    <row r="35" customFormat="false" ht="15" hidden="false" customHeight="false" outlineLevel="0" collapsed="false">
      <c r="A35" s="20"/>
      <c r="B35" s="20"/>
      <c r="C35" s="15" t="n">
        <f aca="false">MOD(C34+3,24)</f>
        <v>3</v>
      </c>
      <c r="D35" s="17" t="n">
        <v>5</v>
      </c>
      <c r="E35" s="102" t="n">
        <f aca="false">input!$C$2</f>
        <v>10</v>
      </c>
      <c r="F35" s="102" t="n">
        <f aca="false">input!$D$2</f>
        <v>2022</v>
      </c>
      <c r="G35" s="0"/>
      <c r="H35" s="39" t="n">
        <f aca="false">AM35</f>
        <v>-4.86081983349613</v>
      </c>
      <c r="I35" s="48" t="n">
        <f aca="false">H35+1.02/(TAN($A$4*(H35+10.3/(H35+5.11)))*60)</f>
        <v>-4.83782445090211</v>
      </c>
      <c r="J35" s="39" t="n">
        <f aca="false">100*(1+COS($A$4*AQ35))/2</f>
        <v>73.5009765898402</v>
      </c>
      <c r="K35" s="48" t="n">
        <f aca="false">IF(AI35&gt;180,AT35-180,AT35+180)</f>
        <v>243.254295651841</v>
      </c>
      <c r="L35" s="10" t="n">
        <f aca="false">L34+1/8</f>
        <v>2459857.625</v>
      </c>
      <c r="M35" s="49" t="n">
        <f aca="false">(L35-2451545)/36525</f>
        <v>0.22758726899384</v>
      </c>
      <c r="N35" s="15" t="n">
        <f aca="false">MOD(280.46061837+360.98564736629*(L35-2451545)+0.000387933*M35^2-M35^3/38710000+$G$4,360)</f>
        <v>58.7775766691193</v>
      </c>
      <c r="O35" s="18" t="n">
        <f aca="false">0.60643382+1336.85522467*M35 - 0.00000313*M35^2 - INT(0.60643382+1336.85522467*M35 - 0.00000313*M35^2)</f>
        <v>0.857663280670124</v>
      </c>
      <c r="P35" s="15" t="n">
        <f aca="false">22640*SIN(Q35)-4586*SIN(Q35-2*S35)+2370*SIN(2*S35)+769*SIN(2*Q35)-668*SIN(R35)-412*SIN(2*T35)-212*SIN(2*Q35-2*S35)-206*SIN(Q35+R35-2*S35)+192*SIN(Q35+2*S35)-165*SIN(R35-2*S35)-125*SIN(S35)-110*SIN(Q35+R35)+148*SIN(Q35-R35)-55*SIN(2*T35-2*S35)</f>
        <v>4086.95937589333</v>
      </c>
      <c r="Q35" s="18" t="n">
        <f aca="false">2*PI()*(0.374897+1325.55241*M35 - INT(0.374897+1325.55241*M35))</f>
        <v>0.337720582587129</v>
      </c>
      <c r="R35" s="26" t="n">
        <f aca="false">2*PI()*(0.99312619+99.99735956*M35 - 0.00000044*M35^2 - INT(0.99312619+99.99735956*M35- 0.00000044*M35^2))</f>
        <v>4.72025638331226</v>
      </c>
      <c r="S35" s="26" t="n">
        <f aca="false">2*PI()*(0.827361+1236.853086*M35 - INT(0.827361+1236.853086*M35))</f>
        <v>2.00670480689065</v>
      </c>
      <c r="T35" s="26" t="n">
        <f aca="false">2*PI()*(0.259086+1342.227825*M35 - INT(0.259086+1342.227825*M35))</f>
        <v>4.60589564515339</v>
      </c>
      <c r="U35" s="26" t="n">
        <f aca="false">T35+(P35+412*SIN(2*T35)+541*SIN(R35))/206264.8062</f>
        <v>4.62350923980677</v>
      </c>
      <c r="V35" s="26" t="n">
        <f aca="false">T35-2*S35</f>
        <v>0.592486031372103</v>
      </c>
      <c r="W35" s="25" t="n">
        <f aca="false">-526*SIN(V35)+44*SIN(Q35+V35)-31*SIN(-Q35+V35)-23*SIN(R35+V35)+11*SIN(-R35+V35)-25*SIN(-2*Q35+T35)+21*SIN(-Q35+T35)</f>
        <v>-239.339288540301</v>
      </c>
      <c r="X35" s="26" t="n">
        <f aca="false">2*PI()*(O35+P35/1296000-INT(O35+P35/1296000))</f>
        <v>5.40867146180969</v>
      </c>
      <c r="Y35" s="26" t="n">
        <f aca="false">(18520*SIN(U35)+W35)/206264.8062</f>
        <v>-0.090593433762826</v>
      </c>
      <c r="Z35" s="26" t="n">
        <f aca="false">Y35*180/PI()</f>
        <v>-5.19062140620791</v>
      </c>
      <c r="AA35" s="26" t="n">
        <f aca="false">COS(Y35)*COS(X35)</f>
        <v>0.638739810693576</v>
      </c>
      <c r="AB35" s="26" t="n">
        <f aca="false">COS(Y35)*SIN(X35)</f>
        <v>-0.764085539705338</v>
      </c>
      <c r="AC35" s="26" t="n">
        <f aca="false">SIN(Y35)</f>
        <v>-0.0904695653152916</v>
      </c>
      <c r="AD35" s="26" t="n">
        <f aca="false">COS($A$4*(23.4393-46.815*M35/3600))*AB35-SIN($A$4*(23.4393-46.815*M35/3600))*AC35</f>
        <v>-0.665067976441698</v>
      </c>
      <c r="AE35" s="26" t="n">
        <f aca="false">SIN($A$4*(23.4393-46.815*M35/3600))*AB35+COS($A$4*(23.4393-46.815*M35/3600))*AC35</f>
        <v>-0.386905726174839</v>
      </c>
      <c r="AF35" s="26" t="n">
        <f aca="false">SQRT(1-AE35*AE35)</f>
        <v>0.92211927593621</v>
      </c>
      <c r="AG35" s="10" t="n">
        <f aca="false">ATAN(AE35/AF35)/$A$4</f>
        <v>-22.762101136991</v>
      </c>
      <c r="AH35" s="26" t="n">
        <f aca="false">IF(24*ATAN(AD35/(AA35+AF35))/PI()&gt;0,24*ATAN(AD35/(AA35+AF35))/PI(),24*ATAN(AD35/(AA35+AF35))/PI()+24)</f>
        <v>20.9228778042324</v>
      </c>
      <c r="AI35" s="10" t="n">
        <f aca="false">IF(N35-15*AH35&gt;0,N35-15*AH35,360+N35-15*AH35)</f>
        <v>104.934409605633</v>
      </c>
      <c r="AJ35" s="18" t="n">
        <f aca="false">0.950724+0.051818*COS(Q35)+0.009531*COS(2*S35-Q35)+0.007843*COS(2*S35)+0.002824*COS(2*Q35)+0.000857*COS(2*S35+Q35)+0.000533*COS(2*S35-R35)+0.000401*COS(2*S35-R35-Q35)+0.00032*COS(Q35-R35)-0.000271*COS(S35)</f>
        <v>0.98888336040908</v>
      </c>
      <c r="AK35" s="50" t="n">
        <f aca="false">ASIN(COS($A$4*$G$2)*COS($A$4*AG35)*COS($A$4*AI35)+SIN($A$4*$G$2)*SIN($A$4*AG35))/$A$4</f>
        <v>-3.87469869365204</v>
      </c>
      <c r="AL35" s="18" t="n">
        <f aca="false">ASIN((0.9983271+0.0016764*COS($A$4*2*$G$2))*COS($A$4*AK35)*SIN($A$4*AJ35))/$A$4</f>
        <v>0.986121139844089</v>
      </c>
      <c r="AM35" s="18" t="n">
        <f aca="false">AK35-AL35</f>
        <v>-4.86081983349613</v>
      </c>
      <c r="AN35" s="10" t="n">
        <f aca="false"> IF(280.4664567 + 360007.6982779*M35/10 + 0.03032028*M35^2/100 + M35^3/49931000&lt;0,MOD(280.4664567 + 360007.6982779*M35/10 + 0.03032028*M35^2/100 + M35^3/49931000+360,360),MOD(280.4664567 + 360007.6982779*M35/10 + 0.03032028*M35^2/100 + M35^3/49931000,360))</f>
        <v>193.783359187473</v>
      </c>
      <c r="AO35" s="27" t="n">
        <f aca="false"> AN35 + (1.9146 - 0.004817*M35 - 0.000014*M35^2)*SIN(R35)+ (0.019993 - 0.000101*M35)*SIN(2*R35)+ 0.00029*SIN(3*R35)</f>
        <v>191.869891127211</v>
      </c>
      <c r="AP35" s="18" t="n">
        <f aca="false">ACOS(COS(X35-$A$4*AO35)*COS(Y35))/$A$4</f>
        <v>117.899172731429</v>
      </c>
      <c r="AQ35" s="25" t="n">
        <f aca="false">180 - AP35 -0.1468*(1-0.0549*SIN(R35))*SIN($A$4*AP35)/(1-0.0167*SIN($A$4*AO35))</f>
        <v>61.9644356066193</v>
      </c>
      <c r="AR35" s="25" t="n">
        <f aca="false">SIN($A$4*AI35)</f>
        <v>0.966221481152621</v>
      </c>
      <c r="AS35" s="25" t="n">
        <f aca="false">COS($A$4*AI35)*SIN($A$4*$G$2) - TAN($A$4*AG35)*COS($A$4*$G$2)</f>
        <v>0.486924877711497</v>
      </c>
      <c r="AT35" s="25" t="n">
        <f aca="false">IF(OR(AND(AR35*AS35&gt;0), AND(AR35&lt;0,AS35&gt;0)), MOD(ATAN2(AS35,AR35)/$A$4+360,360),  ATAN2(AS35,AR35)/$A$4)</f>
        <v>63.2542956518414</v>
      </c>
      <c r="AU35" s="29" t="n">
        <f aca="false">(1+SIN($A$4*H35)*SIN($A$4*AJ35))*120*ASIN(0.272481*SIN($A$4*AJ35))/$A$4</f>
        <v>32.2854616647684</v>
      </c>
      <c r="AV35" s="10" t="n">
        <f aca="false">COS(X35)</f>
        <v>0.641369927227417</v>
      </c>
      <c r="AW35" s="10" t="n">
        <f aca="false">SIN(X35)</f>
        <v>-0.767231787954786</v>
      </c>
      <c r="AX35" s="30" t="n">
        <f aca="false"> 385000.56 + (-20905355*COS(Q35) - 3699111*COS(2*S35-Q35) - 2955968*COS(2*S35) - 569925*COS(2*Q35) + (1-0.002516*M35)*48888*COS(R35) - 3149*COS(2*T35)  +246158*COS(2*S35-2*Q35) -(1-0.002516*M35)*152138*COS(2*S35-R35-Q35) -170733*COS(2*S35+Q35) -(1-0.002516*M35)*204586*COS(2*S35-R35) -(1-0.002516*M35)*129620*COS(R35-Q35)  + 108743*COS(S35) +(1-0.002516*M35)*104755*COS(R35+Q35) +10321*COS(2*S35-2*T35) +79661*COS(Q35-2*T35) -34782*COS(4*S35-Q35) -23210*COS(3*Q35)  -21636*COS(4*S35-2*Q35) +(1-0.002516*M35)*24208*COS(2*S35+R35-Q35) +(1-0.002516*M35)*30824*COS(2*S35+R35) -8379*COS(S35-Q35) -(1-0.002516*M35)*16675*COS(S35+R35)  -(1-0.002516*M35)*12831*COS(2*S35-R35+Q35) -10445*COS(2*S35+2*Q35) -11650*COS(4*S35) +14403*COS(2*S35-3*Q35) -(1-0.002516*M35)*7003*COS(R35-2*Q35)  + (1-0.002516*M35)*10056*COS(2*S35-R35-2*Q35) +6322*COS(S35+Q35) -(1-0.002516*M35)*(1-0.002516*M35)*9884*COS(2*S35-2*R35) +(1-0.002516*M35)*5751*COS(R35+2*Q35) -(1-0.002516*M35)*(1-0.002516*M35)*4950*COS(2*S35-2*R35-Q35)  +4130*COS(2*S35+Q35-2*T35) -(1-0.002516*M35)*3958*COS(4*S35-R35-Q35) +3258*COS(3*S35-Q35) +(1-0.002516*M35)*2616*COS(2*S35+R35+Q35) -(1-0.002516*M35)*1897*COS(4*S35-R35-2*Q35)  -(1-0.002516*M35)*(1-0.002516*M35)*2117*COS(2*R35-Q35) +(1-0.002516*M35)*(1-0.002516*M35)*2354*COS(2*S35+2*R35-Q35) -1423*COS(4*S35+Q35) -1117*COS(4*Q35) -(1-0.002516*M35)*1571*COS(4*S35-R35)  -1739*COS(S35-2*Q35) -4421*COS(2*Q35-2*T35) +(1-0.002516*M35)*(1-0.002516*M35)*1165*COS(2*R35+Q35) +8752*COS(2*S35-Q35-2*T35))/1000</f>
        <v>369388.142792236</v>
      </c>
      <c r="AY35" s="10" t="n">
        <f aca="false">AY34+1/8</f>
        <v>5.125</v>
      </c>
      <c r="AZ35" s="17" t="n">
        <f aca="false">AZ34+1</f>
        <v>34</v>
      </c>
      <c r="BA35" s="32" t="n">
        <f aca="false">ATAN(0.99664719*TAN($A$4*input!$E$2))</f>
        <v>-0.400219206115995</v>
      </c>
      <c r="BB35" s="32" t="n">
        <f aca="false">COS(BA35)</f>
        <v>0.920975608992155</v>
      </c>
      <c r="BC35" s="32" t="n">
        <f aca="false">0.99664719*SIN(BA35)</f>
        <v>-0.388313912533463</v>
      </c>
      <c r="BD35" s="32" t="n">
        <f aca="false">6378.14/AX35</f>
        <v>0.0172667697229995</v>
      </c>
      <c r="BE35" s="33" t="n">
        <f aca="false">MOD(N35-15*AH35,360)</f>
        <v>104.934409605633</v>
      </c>
      <c r="BF35" s="27" t="n">
        <f aca="false">COS($A$4*AG35)*SIN($A$4*BE35)</f>
        <v>0.890971452594467</v>
      </c>
      <c r="BG35" s="27" t="n">
        <f aca="false">COS($A$4*AG35)*COS($A$4*BE35)-BB35*BD35</f>
        <v>-0.253544504256359</v>
      </c>
      <c r="BH35" s="27" t="n">
        <f aca="false">SIN($A$4*AG35)-BC35*BD35</f>
        <v>-0.380200799266887</v>
      </c>
      <c r="BI35" s="46" t="n">
        <f aca="false">SQRT(BF35^2+BG35^2+BH35^2)</f>
        <v>1.00133290804811</v>
      </c>
      <c r="BJ35" s="35" t="n">
        <f aca="false">AX35*BI35</f>
        <v>369880.503220639</v>
      </c>
    </row>
    <row r="36" customFormat="false" ht="15" hidden="false" customHeight="false" outlineLevel="0" collapsed="false">
      <c r="A36" s="20"/>
      <c r="B36" s="20"/>
      <c r="C36" s="15" t="n">
        <f aca="false">MOD(C35+3,24)</f>
        <v>6</v>
      </c>
      <c r="D36" s="17" t="n">
        <v>5</v>
      </c>
      <c r="E36" s="102" t="n">
        <f aca="false">input!$C$2</f>
        <v>10</v>
      </c>
      <c r="F36" s="102" t="n">
        <f aca="false">input!$D$2</f>
        <v>2022</v>
      </c>
      <c r="G36" s="0"/>
      <c r="H36" s="39" t="n">
        <f aca="false">AM36</f>
        <v>-35.9755606783145</v>
      </c>
      <c r="I36" s="48" t="n">
        <f aca="false">H36+1.02/(TAN($A$4*(H36+10.3/(H36+5.11)))*60)</f>
        <v>-35.9986955313793</v>
      </c>
      <c r="J36" s="39" t="n">
        <f aca="false">100*(1+COS($A$4*AQ36))/2</f>
        <v>74.7610913504555</v>
      </c>
      <c r="K36" s="48" t="n">
        <f aca="false">IF(AI36&gt;180,AT36-180,AT36+180)</f>
        <v>216.609914306507</v>
      </c>
      <c r="L36" s="10" t="n">
        <f aca="false">L35+1/8</f>
        <v>2459857.75</v>
      </c>
      <c r="M36" s="49" t="n">
        <f aca="false">(L36-2451545)/36525</f>
        <v>0.227590691307324</v>
      </c>
      <c r="N36" s="15" t="n">
        <f aca="false">MOD(280.46061837+360.98564736629*(L36-2451545)+0.000387933*M36^2-M36^3/38710000+$G$4,360)</f>
        <v>103.900782590732</v>
      </c>
      <c r="O36" s="18" t="n">
        <f aca="false">0.60643382+1336.85522467*M36 - 0.00000313*M36^2 - INT(0.60643382+1336.85522467*M36 - 0.00000313*M36^2)</f>
        <v>0.862238418326683</v>
      </c>
      <c r="P36" s="15" t="n">
        <f aca="false">22640*SIN(Q36)-4586*SIN(Q36-2*S36)+2370*SIN(2*S36)+769*SIN(2*Q36)-668*SIN(R36)-412*SIN(2*T36)-212*SIN(2*Q36-2*S36)-206*SIN(Q36+R36-2*S36)+192*SIN(Q36+2*S36)-165*SIN(R36-2*S36)-125*SIN(S36)-110*SIN(Q36+R36)+148*SIN(Q36-R36)-55*SIN(2*T36-2*S36)</f>
        <v>4577.82474175386</v>
      </c>
      <c r="Q36" s="18" t="n">
        <f aca="false">2*PI()*(0.374897+1325.55241*M36 - INT(0.374897+1325.55241*M36))</f>
        <v>0.366223975559285</v>
      </c>
      <c r="R36" s="26" t="n">
        <f aca="false">2*PI()*(0.99312619+99.99735956*M36 - 0.00000044*M36^2 - INT(0.99312619+99.99735956*M36- 0.00000044*M36^2))</f>
        <v>4.72240662951039</v>
      </c>
      <c r="S36" s="26" t="n">
        <f aca="false">2*PI()*(0.827361+1236.853086*M36 - INT(0.827361+1236.853086*M36))</f>
        <v>2.03330089565557</v>
      </c>
      <c r="T36" s="26" t="n">
        <f aca="false">2*PI()*(0.259086+1342.227825*M36 - INT(0.259086+1342.227825*M36))</f>
        <v>4.63475761007115</v>
      </c>
      <c r="U36" s="26" t="n">
        <f aca="false">T36+(P36+412*SIN(2*T36)+541*SIN(R36))/206264.8062</f>
        <v>4.65463770262182</v>
      </c>
      <c r="V36" s="26" t="n">
        <f aca="false">T36-2*S36</f>
        <v>0.568155818760018</v>
      </c>
      <c r="W36" s="25" t="n">
        <f aca="false">-526*SIN(V36)+44*SIN(Q36+V36)-31*SIN(-Q36+V36)-23*SIN(R36+V36)+11*SIN(-R36+V36)-25*SIN(-2*Q36+T36)+21*SIN(-Q36+T36)</f>
        <v>-226.997415595631</v>
      </c>
      <c r="X36" s="26" t="n">
        <f aca="false">2*PI()*(O36+P36/1296000-INT(O36+P36/1296000))</f>
        <v>5.43979768196122</v>
      </c>
      <c r="Y36" s="26" t="n">
        <f aca="false">(18520*SIN(U36)+W36)/206264.8062</f>
        <v>-0.0907383198220181</v>
      </c>
      <c r="Z36" s="26" t="n">
        <f aca="false">Y36*180/PI()</f>
        <v>-5.1989227659099</v>
      </c>
      <c r="AA36" s="26" t="n">
        <f aca="false">COS(Y36)*COS(X36)</f>
        <v>0.66220094860778</v>
      </c>
      <c r="AB36" s="26" t="n">
        <f aca="false">COS(Y36)*SIN(X36)</f>
        <v>-0.743827286884037</v>
      </c>
      <c r="AC36" s="26" t="n">
        <f aca="false">SIN(Y36)</f>
        <v>-0.0906138562786564</v>
      </c>
      <c r="AD36" s="26" t="n">
        <f aca="false">COS($A$4*(23.4393-46.815*M36/3600))*AB36-SIN($A$4*(23.4393-46.815*M36/3600))*AC36</f>
        <v>-0.646423589361596</v>
      </c>
      <c r="AE36" s="26" t="n">
        <f aca="false">SIN($A$4*(23.4393-46.815*M36/3600))*AB36+COS($A$4*(23.4393-46.815*M36/3600))*AC36</f>
        <v>-0.37898080001476</v>
      </c>
      <c r="AF36" s="26" t="n">
        <f aca="false">SQRT(1-AE36*AE36)</f>
        <v>0.925404534903613</v>
      </c>
      <c r="AG36" s="10" t="n">
        <f aca="false">ATAN(AE36/AF36)/$A$4</f>
        <v>-22.270565347943</v>
      </c>
      <c r="AH36" s="26" t="n">
        <f aca="false">IF(24*ATAN(AD36/(AA36+AF36))/PI()&gt;0,24*ATAN(AD36/(AA36+AF36))/PI(),24*ATAN(AD36/(AA36+AF36))/PI()+24)</f>
        <v>21.0460499949502</v>
      </c>
      <c r="AI36" s="10" t="n">
        <f aca="false">IF(N36-15*AH36&gt;0,N36-15*AH36,360+N36-15*AH36)</f>
        <v>148.210032666479</v>
      </c>
      <c r="AJ36" s="18" t="n">
        <f aca="false">0.950724+0.051818*COS(Q36)+0.009531*COS(2*S36-Q36)+0.007843*COS(2*S36)+0.002824*COS(2*Q36)+0.000857*COS(2*S36+Q36)+0.000533*COS(2*S36-R36)+0.000401*COS(2*S36-R36-Q36)+0.00032*COS(Q36-R36)-0.000271*COS(S36)</f>
        <v>0.988808500522979</v>
      </c>
      <c r="AK36" s="50" t="n">
        <f aca="false">ASIN(COS($A$4*$G$2)*COS($A$4*AG36)*COS($A$4*AI36)+SIN($A$4*$G$2)*SIN($A$4*AG36))/$A$4</f>
        <v>-35.1676635636468</v>
      </c>
      <c r="AL36" s="18" t="n">
        <f aca="false">ASIN((0.9983271+0.0016764*COS($A$4*2*$G$2))*COS($A$4*AK36)*SIN($A$4*AJ36))/$A$4</f>
        <v>0.807897114667707</v>
      </c>
      <c r="AM36" s="18" t="n">
        <f aca="false">AK36-AL36</f>
        <v>-35.9755606783145</v>
      </c>
      <c r="AN36" s="10" t="n">
        <f aca="false"> IF(280.4664567 + 360007.6982779*M36/10 + 0.03032028*M36^2/100 + M36^3/49931000&lt;0,MOD(280.4664567 + 360007.6982779*M36/10 + 0.03032028*M36^2/100 + M36^3/49931000+360,360),MOD(280.4664567 + 360007.6982779*M36/10 + 0.03032028*M36^2/100 + M36^3/49931000,360))</f>
        <v>193.90656510796</v>
      </c>
      <c r="AO36" s="27" t="n">
        <f aca="false"> AN36 + (1.9146 - 0.004817*M36 - 0.000014*M36^2)*SIN(R36)+ (0.019993 - 0.000101*M36)*SIN(2*R36)+ 0.00029*SIN(3*R36)</f>
        <v>191.993047940488</v>
      </c>
      <c r="AP36" s="18" t="n">
        <f aca="false">ACOS(COS(X36-$A$4*AO36)*COS(Y36))/$A$4</f>
        <v>119.55012921985</v>
      </c>
      <c r="AQ36" s="25" t="n">
        <f aca="false">180 - AP36 -0.1468*(1-0.0549*SIN(R36))*SIN($A$4*AP36)/(1-0.0167*SIN($A$4*AO36))</f>
        <v>60.3156210762015</v>
      </c>
      <c r="AR36" s="25" t="n">
        <f aca="false">SIN($A$4*AI36)</f>
        <v>0.52680696860532</v>
      </c>
      <c r="AS36" s="25" t="n">
        <f aca="false">COS($A$4*AI36)*SIN($A$4*$G$2) - TAN($A$4*AG36)*COS($A$4*$G$2)</f>
        <v>0.709089813411536</v>
      </c>
      <c r="AT36" s="25" t="n">
        <f aca="false">IF(OR(AND(AR36*AS36&gt;0), AND(AR36&lt;0,AS36&gt;0)), MOD(ATAN2(AS36,AR36)/$A$4+360,360),  ATAN2(AS36,AR36)/$A$4)</f>
        <v>36.6099143065075</v>
      </c>
      <c r="AU36" s="29" t="n">
        <f aca="false">(1+SIN($A$4*H36)*SIN($A$4*AJ36))*120*ASIN(0.272481*SIN($A$4*AJ36))/$A$4</f>
        <v>32.0025487688036</v>
      </c>
      <c r="AV36" s="10" t="n">
        <f aca="false">COS(X36)</f>
        <v>0.664936428954677</v>
      </c>
      <c r="AW36" s="10" t="n">
        <f aca="false">SIN(X36)</f>
        <v>-0.746899956787388</v>
      </c>
      <c r="AX36" s="30" t="n">
        <f aca="false"> 385000.56 + (-20905355*COS(Q36) - 3699111*COS(2*S36-Q36) - 2955968*COS(2*S36) - 569925*COS(2*Q36) + (1-0.002516*M36)*48888*COS(R36) - 3149*COS(2*T36)  +246158*COS(2*S36-2*Q36) -(1-0.002516*M36)*152138*COS(2*S36-R36-Q36) -170733*COS(2*S36+Q36) -(1-0.002516*M36)*204586*COS(2*S36-R36) -(1-0.002516*M36)*129620*COS(R36-Q36)  + 108743*COS(S36) +(1-0.002516*M36)*104755*COS(R36+Q36) +10321*COS(2*S36-2*T36) +79661*COS(Q36-2*T36) -34782*COS(4*S36-Q36) -23210*COS(3*Q36)  -21636*COS(4*S36-2*Q36) +(1-0.002516*M36)*24208*COS(2*S36+R36-Q36) +(1-0.002516*M36)*30824*COS(2*S36+R36) -8379*COS(S36-Q36) -(1-0.002516*M36)*16675*COS(S36+R36)  -(1-0.002516*M36)*12831*COS(2*S36-R36+Q36) -10445*COS(2*S36+2*Q36) -11650*COS(4*S36) +14403*COS(2*S36-3*Q36) -(1-0.002516*M36)*7003*COS(R36-2*Q36)  + (1-0.002516*M36)*10056*COS(2*S36-R36-2*Q36) +6322*COS(S36+Q36) -(1-0.002516*M36)*(1-0.002516*M36)*9884*COS(2*S36-2*R36) +(1-0.002516*M36)*5751*COS(R36+2*Q36) -(1-0.002516*M36)*(1-0.002516*M36)*4950*COS(2*S36-2*R36-Q36)  +4130*COS(2*S36+Q36-2*T36) -(1-0.002516*M36)*3958*COS(4*S36-R36-Q36) +3258*COS(3*S36-Q36) +(1-0.002516*M36)*2616*COS(2*S36+R36+Q36) -(1-0.002516*M36)*1897*COS(4*S36-R36-2*Q36)  -(1-0.002516*M36)*(1-0.002516*M36)*2117*COS(2*R36-Q36) +(1-0.002516*M36)*(1-0.002516*M36)*2354*COS(2*S36+2*R36-Q36) -1423*COS(4*S36+Q36) -1117*COS(4*Q36) -(1-0.002516*M36)*1571*COS(4*S36-R36)  -1739*COS(S36-2*Q36) -4421*COS(2*Q36-2*T36) +(1-0.002516*M36)*(1-0.002516*M36)*1165*COS(2*R36+Q36) +8752*COS(2*S36-Q36-2*T36))/1000</f>
        <v>369428.600985032</v>
      </c>
      <c r="AY36" s="10" t="n">
        <f aca="false">AY35+1/8</f>
        <v>5.25</v>
      </c>
      <c r="AZ36" s="17" t="n">
        <f aca="false">AZ35+1</f>
        <v>35</v>
      </c>
      <c r="BA36" s="32" t="n">
        <f aca="false">ATAN(0.99664719*TAN($A$4*input!$E$2))</f>
        <v>-0.400219206115995</v>
      </c>
      <c r="BB36" s="32" t="n">
        <f aca="false">COS(BA36)</f>
        <v>0.920975608992155</v>
      </c>
      <c r="BC36" s="32" t="n">
        <f aca="false">0.99664719*SIN(BA36)</f>
        <v>-0.388313912533463</v>
      </c>
      <c r="BD36" s="32" t="n">
        <f aca="false">6378.14/AX36</f>
        <v>0.0172648787424513</v>
      </c>
      <c r="BE36" s="33" t="n">
        <f aca="false">MOD(N36-15*AH36,360)</f>
        <v>148.210032666479</v>
      </c>
      <c r="BF36" s="27" t="n">
        <f aca="false">COS($A$4*AG36)*SIN($A$4*BE36)</f>
        <v>0.487509557766189</v>
      </c>
      <c r="BG36" s="27" t="n">
        <f aca="false">COS($A$4*AG36)*COS($A$4*BE36)-BB36*BD36</f>
        <v>-0.802480460960466</v>
      </c>
      <c r="BH36" s="27" t="n">
        <f aca="false">SIN($A$4*AG36)-BC36*BD36</f>
        <v>-0.372276607400862</v>
      </c>
      <c r="BI36" s="46" t="n">
        <f aca="false">SQRT(BF36^2+BG36^2+BH36^2)</f>
        <v>1.01006451851087</v>
      </c>
      <c r="BJ36" s="35" t="n">
        <f aca="false">AX36*BI36</f>
        <v>373146.721978092</v>
      </c>
    </row>
    <row r="37" customFormat="false" ht="15" hidden="false" customHeight="false" outlineLevel="0" collapsed="false">
      <c r="A37" s="20"/>
      <c r="B37" s="20"/>
      <c r="C37" s="15" t="n">
        <f aca="false">MOD(C36+3,24)</f>
        <v>9</v>
      </c>
      <c r="D37" s="17" t="n">
        <v>5</v>
      </c>
      <c r="E37" s="102" t="n">
        <f aca="false">input!$C$2</f>
        <v>10</v>
      </c>
      <c r="F37" s="102" t="n">
        <f aca="false">input!$D$2</f>
        <v>2022</v>
      </c>
      <c r="G37" s="0"/>
      <c r="H37" s="39" t="n">
        <f aca="false">AM37</f>
        <v>-44.5745410877232</v>
      </c>
      <c r="I37" s="48" t="n">
        <f aca="false">H37+1.02/(TAN($A$4*(H37+10.3/(H37+5.11)))*60)</f>
        <v>-44.5916389645137</v>
      </c>
      <c r="J37" s="39" t="n">
        <f aca="false">100*(1+COS($A$4*AQ37))/2</f>
        <v>76.0006077209936</v>
      </c>
      <c r="K37" s="48" t="n">
        <f aca="false">IF(AI37&gt;180,AT37-180,AT37+180)</f>
        <v>165.120542067774</v>
      </c>
      <c r="L37" s="10" t="n">
        <f aca="false">L36+1/8</f>
        <v>2459857.875</v>
      </c>
      <c r="M37" s="49" t="n">
        <f aca="false">(L37-2451545)/36525</f>
        <v>0.227594113620808</v>
      </c>
      <c r="N37" s="15" t="n">
        <f aca="false">MOD(280.46061837+360.98564736629*(L37-2451545)+0.000387933*M37^2-M37^3/38710000+$G$4,360)</f>
        <v>149.023988512345</v>
      </c>
      <c r="O37" s="18" t="n">
        <f aca="false">0.60643382+1336.85522467*M37 - 0.00000313*M37^2 - INT(0.60643382+1336.85522467*M37 - 0.00000313*M37^2)</f>
        <v>0.866813555983242</v>
      </c>
      <c r="P37" s="15" t="n">
        <f aca="false">22640*SIN(Q37)-4586*SIN(Q37-2*S37)+2370*SIN(2*S37)+769*SIN(2*Q37)-668*SIN(R37)-412*SIN(2*T37)-212*SIN(2*Q37-2*S37)-206*SIN(Q37+R37-2*S37)+192*SIN(Q37+2*S37)-165*SIN(R37-2*S37)-125*SIN(S37)-110*SIN(Q37+R37)+148*SIN(Q37-R37)-55*SIN(2*T37-2*S37)</f>
        <v>5068.94698460052</v>
      </c>
      <c r="Q37" s="18" t="n">
        <f aca="false">2*PI()*(0.374897+1325.55241*M37 - INT(0.374897+1325.55241*M37))</f>
        <v>0.394727368531441</v>
      </c>
      <c r="R37" s="26" t="n">
        <f aca="false">2*PI()*(0.99312619+99.99735956*M37 - 0.00000044*M37^2 - INT(0.99312619+99.99735956*M37- 0.00000044*M37^2))</f>
        <v>4.72455687570847</v>
      </c>
      <c r="S37" s="26" t="n">
        <f aca="false">2*PI()*(0.827361+1236.853086*M37 - INT(0.827361+1236.853086*M37))</f>
        <v>2.05989698442049</v>
      </c>
      <c r="T37" s="26" t="n">
        <f aca="false">2*PI()*(0.259086+1342.227825*M37 - INT(0.259086+1342.227825*M37))</f>
        <v>4.66361957498856</v>
      </c>
      <c r="U37" s="26" t="n">
        <f aca="false">T37+(P37+412*SIN(2*T37)+541*SIN(R37))/206264.8062</f>
        <v>4.68576639401134</v>
      </c>
      <c r="V37" s="26" t="n">
        <f aca="false">T37-2*S37</f>
        <v>0.543825606147575</v>
      </c>
      <c r="W37" s="25" t="n">
        <f aca="false">-526*SIN(V37)+44*SIN(Q37+V37)-31*SIN(-Q37+V37)-23*SIN(R37+V37)+11*SIN(-R37+V37)-25*SIN(-2*Q37+T37)+21*SIN(-Q37+T37)</f>
        <v>-214.50094178946</v>
      </c>
      <c r="X37" s="26" t="n">
        <f aca="false">2*PI()*(O37+P37/1296000-INT(O37+P37/1296000))</f>
        <v>5.47092514748753</v>
      </c>
      <c r="Y37" s="26" t="n">
        <f aca="false">(18520*SIN(U37)+W37)/206264.8062</f>
        <v>-0.0907956065668754</v>
      </c>
      <c r="Z37" s="26" t="n">
        <f aca="false">Y37*180/PI()</f>
        <v>-5.20220505461226</v>
      </c>
      <c r="AA37" s="26" t="n">
        <f aca="false">COS(Y37)*COS(X37)</f>
        <v>0.685026312588099</v>
      </c>
      <c r="AB37" s="26" t="n">
        <f aca="false">COS(Y37)*SIN(X37)</f>
        <v>-0.722853884024246</v>
      </c>
      <c r="AC37" s="26" t="n">
        <f aca="false">SIN(Y37)</f>
        <v>-0.0906709072029961</v>
      </c>
      <c r="AD37" s="26" t="n">
        <f aca="false">COS($A$4*(23.4393-46.815*M37/3600))*AB37-SIN($A$4*(23.4393-46.815*M37/3600))*AC37</f>
        <v>-0.627157748259948</v>
      </c>
      <c r="AE37" s="26" t="n">
        <f aca="false">SIN($A$4*(23.4393-46.815*M37/3600))*AB37+COS($A$4*(23.4393-46.815*M37/3600))*AC37</f>
        <v>-0.370691394369312</v>
      </c>
      <c r="AF37" s="26" t="n">
        <f aca="false">SQRT(1-AE37*AE37)</f>
        <v>0.928756098305974</v>
      </c>
      <c r="AG37" s="10" t="n">
        <f aca="false">ATAN(AE37/AF37)/$A$4</f>
        <v>-21.7582636785048</v>
      </c>
      <c r="AH37" s="26" t="n">
        <f aca="false">IF(24*ATAN(AD37/(AA37+AF37))/PI()&gt;0,24*ATAN(AD37/(AA37+AF37))/PI(),24*ATAN(AD37/(AA37+AF37))/PI()+24)</f>
        <v>21.1683441418351</v>
      </c>
      <c r="AI37" s="10" t="n">
        <f aca="false">IF(N37-15*AH37&gt;0,N37-15*AH37,360+N37-15*AH37)</f>
        <v>191.498826384819</v>
      </c>
      <c r="AJ37" s="18" t="n">
        <f aca="false">0.950724+0.051818*COS(Q37)+0.009531*COS(2*S37-Q37)+0.007843*COS(2*S37)+0.002824*COS(2*Q37)+0.000857*COS(2*S37+Q37)+0.000533*COS(2*S37-R37)+0.000401*COS(2*S37-R37-Q37)+0.00032*COS(Q37-R37)-0.000271*COS(S37)</f>
        <v>0.988706154427681</v>
      </c>
      <c r="AK37" s="50" t="n">
        <f aca="false">ASIN(COS($A$4*$G$2)*COS($A$4*AG37)*COS($A$4*AI37)+SIN($A$4*$G$2)*SIN($A$4*AG37))/$A$4</f>
        <v>-43.8620532768149</v>
      </c>
      <c r="AL37" s="18" t="n">
        <f aca="false">ASIN((0.9983271+0.0016764*COS($A$4*2*$G$2))*COS($A$4*AK37)*SIN($A$4*AJ37))/$A$4</f>
        <v>0.71248781090835</v>
      </c>
      <c r="AM37" s="18" t="n">
        <f aca="false">AK37-AL37</f>
        <v>-44.5745410877232</v>
      </c>
      <c r="AN37" s="10" t="n">
        <f aca="false"> IF(280.4664567 + 360007.6982779*M37/10 + 0.03032028*M37^2/100 + M37^3/49931000&lt;0,MOD(280.4664567 + 360007.6982779*M37/10 + 0.03032028*M37^2/100 + M37^3/49931000+360,360),MOD(280.4664567 + 360007.6982779*M37/10 + 0.03032028*M37^2/100 + M37^3/49931000,360))</f>
        <v>194.029771028443</v>
      </c>
      <c r="AO37" s="27" t="n">
        <f aca="false"> AN37 + (1.9146 - 0.004817*M37 - 0.000014*M37^2)*SIN(R37)+ (0.019993 - 0.000101*M37)*SIN(2*R37)+ 0.00029*SIN(3*R37)</f>
        <v>192.116213595847</v>
      </c>
      <c r="AP37" s="18" t="n">
        <f aca="false">ACOS(COS(X37-$A$4*AO37)*COS(Y37))/$A$4</f>
        <v>121.201070357412</v>
      </c>
      <c r="AQ37" s="25" t="n">
        <f aca="false">180 - AP37 -0.1468*(1-0.0549*SIN(R37))*SIN($A$4*AP37)/(1-0.0167*SIN($A$4*AO37))</f>
        <v>58.6669332044831</v>
      </c>
      <c r="AR37" s="25" t="n">
        <f aca="false">SIN($A$4*AI37)</f>
        <v>-0.199347862137598</v>
      </c>
      <c r="AS37" s="25" t="n">
        <f aca="false">COS($A$4*AI37)*SIN($A$4*$G$2) - TAN($A$4*AG37)*COS($A$4*$G$2)</f>
        <v>0.750286783140846</v>
      </c>
      <c r="AT37" s="25" t="n">
        <f aca="false">IF(OR(AND(AR37*AS37&gt;0), AND(AR37&lt;0,AS37&gt;0)), MOD(ATAN2(AS37,AR37)/$A$4+360,360),  ATAN2(AS37,AR37)/$A$4)</f>
        <v>345.120542067774</v>
      </c>
      <c r="AU37" s="29" t="n">
        <f aca="false">(1+SIN($A$4*H37)*SIN($A$4*AJ37))*120*ASIN(0.272481*SIN($A$4*AJ37))/$A$4</f>
        <v>31.9354588577741</v>
      </c>
      <c r="AV37" s="10" t="n">
        <f aca="false">COS(X37)</f>
        <v>0.687859668579286</v>
      </c>
      <c r="AW37" s="10" t="n">
        <f aca="false">SIN(X37)</f>
        <v>-0.72584369966405</v>
      </c>
      <c r="AX37" s="30" t="n">
        <f aca="false"> 385000.56 + (-20905355*COS(Q37) - 3699111*COS(2*S37-Q37) - 2955968*COS(2*S37) - 569925*COS(2*Q37) + (1-0.002516*M37)*48888*COS(R37) - 3149*COS(2*T37)  +246158*COS(2*S37-2*Q37) -(1-0.002516*M37)*152138*COS(2*S37-R37-Q37) -170733*COS(2*S37+Q37) -(1-0.002516*M37)*204586*COS(2*S37-R37) -(1-0.002516*M37)*129620*COS(R37-Q37)  + 108743*COS(S37) +(1-0.002516*M37)*104755*COS(R37+Q37) +10321*COS(2*S37-2*T37) +79661*COS(Q37-2*T37) -34782*COS(4*S37-Q37) -23210*COS(3*Q37)  -21636*COS(4*S37-2*Q37) +(1-0.002516*M37)*24208*COS(2*S37+R37-Q37) +(1-0.002516*M37)*30824*COS(2*S37+R37) -8379*COS(S37-Q37) -(1-0.002516*M37)*16675*COS(S37+R37)  -(1-0.002516*M37)*12831*COS(2*S37-R37+Q37) -10445*COS(2*S37+2*Q37) -11650*COS(4*S37) +14403*COS(2*S37-3*Q37) -(1-0.002516*M37)*7003*COS(R37-2*Q37)  + (1-0.002516*M37)*10056*COS(2*S37-R37-2*Q37) +6322*COS(S37+Q37) -(1-0.002516*M37)*(1-0.002516*M37)*9884*COS(2*S37-2*R37) +(1-0.002516*M37)*5751*COS(R37+2*Q37) -(1-0.002516*M37)*(1-0.002516*M37)*4950*COS(2*S37-2*R37-Q37)  +4130*COS(2*S37+Q37-2*T37) -(1-0.002516*M37)*3958*COS(4*S37-R37-Q37) +3258*COS(3*S37-Q37) +(1-0.002516*M37)*2616*COS(2*S37+R37+Q37) -(1-0.002516*M37)*1897*COS(4*S37-R37-2*Q37)  -(1-0.002516*M37)*(1-0.002516*M37)*2117*COS(2*R37-Q37) +(1-0.002516*M37)*(1-0.002516*M37)*2354*COS(2*S37+2*R37-Q37) -1423*COS(4*S37+Q37) -1117*COS(4*Q37) -(1-0.002516*M37)*1571*COS(4*S37-R37)  -1739*COS(S37-2*Q37) -4421*COS(2*Q37-2*T37) +(1-0.002516*M37)*(1-0.002516*M37)*1165*COS(2*R37+Q37) +8752*COS(2*S37-Q37-2*T37))/1000</f>
        <v>369479.747014549</v>
      </c>
      <c r="AY37" s="10" t="n">
        <f aca="false">AY36+1/8</f>
        <v>5.375</v>
      </c>
      <c r="AZ37" s="17" t="n">
        <f aca="false">AZ36+1</f>
        <v>36</v>
      </c>
      <c r="BA37" s="32" t="n">
        <f aca="false">ATAN(0.99664719*TAN($A$4*input!$E$2))</f>
        <v>-0.400219206115995</v>
      </c>
      <c r="BB37" s="32" t="n">
        <f aca="false">COS(BA37)</f>
        <v>0.920975608992155</v>
      </c>
      <c r="BC37" s="32" t="n">
        <f aca="false">0.99664719*SIN(BA37)</f>
        <v>-0.388313912533463</v>
      </c>
      <c r="BD37" s="32" t="n">
        <f aca="false">6378.14/AX37</f>
        <v>0.0172624888144379</v>
      </c>
      <c r="BE37" s="33" t="n">
        <f aca="false">MOD(N37-15*AH37,360)</f>
        <v>191.498826384819</v>
      </c>
      <c r="BF37" s="27" t="n">
        <f aca="false">COS($A$4*AG37)*SIN($A$4*BE37)</f>
        <v>-0.185145542644553</v>
      </c>
      <c r="BG37" s="27" t="n">
        <f aca="false">COS($A$4*AG37)*COS($A$4*BE37)-BB37*BD37</f>
        <v>-0.926013169056094</v>
      </c>
      <c r="BH37" s="27" t="n">
        <f aca="false">SIN($A$4*AG37)-BC37*BD37</f>
        <v>-0.363988129797712</v>
      </c>
      <c r="BI37" s="46" t="n">
        <f aca="false">SQRT(BF37^2+BG37^2+BH37^2)</f>
        <v>1.01206058112155</v>
      </c>
      <c r="BJ37" s="35" t="n">
        <f aca="false">AX37*BI37</f>
        <v>373935.887476188</v>
      </c>
    </row>
    <row r="38" customFormat="false" ht="15" hidden="false" customHeight="false" outlineLevel="0" collapsed="false">
      <c r="A38" s="20"/>
      <c r="B38" s="20"/>
      <c r="C38" s="15" t="n">
        <f aca="false">MOD(C37+3,24)</f>
        <v>12</v>
      </c>
      <c r="D38" s="17" t="n">
        <v>5</v>
      </c>
      <c r="E38" s="102" t="n">
        <f aca="false">input!$C$2</f>
        <v>10</v>
      </c>
      <c r="F38" s="102" t="n">
        <f aca="false">input!$D$2</f>
        <v>2022</v>
      </c>
      <c r="G38" s="0"/>
      <c r="H38" s="39" t="n">
        <f aca="false">AM38</f>
        <v>-21.6037758837244</v>
      </c>
      <c r="I38" s="48" t="n">
        <f aca="false">H38+1.02/(TAN($A$4*(H38+10.3/(H38+5.11)))*60)</f>
        <v>-21.6453744628778</v>
      </c>
      <c r="J38" s="39" t="n">
        <f aca="false">100*(1+COS($A$4*AQ38))/2</f>
        <v>77.2184413006132</v>
      </c>
      <c r="K38" s="48" t="n">
        <f aca="false">IF(AI38&gt;180,AT38-180,AT38+180)</f>
        <v>125.494092029276</v>
      </c>
      <c r="L38" s="10" t="n">
        <f aca="false">L37+1/8</f>
        <v>2459858</v>
      </c>
      <c r="M38" s="49" t="n">
        <f aca="false">(L38-2451545)/36525</f>
        <v>0.227597535934292</v>
      </c>
      <c r="N38" s="15" t="n">
        <f aca="false">MOD(280.46061837+360.98564736629*(L38-2451545)+0.000387933*M38^2-M38^3/38710000+$G$4,360)</f>
        <v>194.147194433492</v>
      </c>
      <c r="O38" s="18" t="n">
        <f aca="false">0.60643382+1336.85522467*M38 - 0.00000313*M38^2 - INT(0.60643382+1336.85522467*M38 - 0.00000313*M38^2)</f>
        <v>0.871388693639801</v>
      </c>
      <c r="P38" s="15" t="n">
        <f aca="false">22640*SIN(Q38)-4586*SIN(Q38-2*S38)+2370*SIN(2*S38)+769*SIN(2*Q38)-668*SIN(R38)-412*SIN(2*T38)-212*SIN(2*Q38-2*S38)-206*SIN(Q38+R38-2*S38)+192*SIN(Q38+2*S38)-165*SIN(R38-2*S38)-125*SIN(S38)-110*SIN(Q38+R38)+148*SIN(Q38-R38)-55*SIN(2*T38-2*S38)</f>
        <v>5559.92951524513</v>
      </c>
      <c r="Q38" s="18" t="n">
        <f aca="false">2*PI()*(0.374897+1325.55241*M38 - INT(0.374897+1325.55241*M38))</f>
        <v>0.423230761503239</v>
      </c>
      <c r="R38" s="26" t="n">
        <f aca="false">2*PI()*(0.99312619+99.99735956*M38 - 0.00000044*M38^2 - INT(0.99312619+99.99735956*M38- 0.00000044*M38^2))</f>
        <v>4.72670712190657</v>
      </c>
      <c r="S38" s="26" t="n">
        <f aca="false">2*PI()*(0.827361+1236.853086*M38 - INT(0.827361+1236.853086*M38))</f>
        <v>2.08649307318541</v>
      </c>
      <c r="T38" s="26" t="n">
        <f aca="false">2*PI()*(0.259086+1342.227825*M38 - INT(0.259086+1342.227825*M38))</f>
        <v>4.69248153990632</v>
      </c>
      <c r="U38" s="26" t="n">
        <f aca="false">T38+(P38+412*SIN(2*T38)+541*SIN(R38))/206264.8062</f>
        <v>4.71689377221783</v>
      </c>
      <c r="V38" s="26" t="n">
        <f aca="false">T38-2*S38</f>
        <v>0.51949539353549</v>
      </c>
      <c r="W38" s="25" t="n">
        <f aca="false">-526*SIN(V38)+44*SIN(Q38+V38)-31*SIN(-Q38+V38)-23*SIN(R38+V38)+11*SIN(-R38+V38)-25*SIN(-2*Q38+T38)+21*SIN(-Q38+T38)</f>
        <v>-201.860634848087</v>
      </c>
      <c r="X38" s="26" t="n">
        <f aca="false">2*PI()*(O38+P38/1296000-INT(O38+P38/1296000))</f>
        <v>5.50205193566997</v>
      </c>
      <c r="Y38" s="26" t="n">
        <f aca="false">(18520*SIN(U38)+W38)/206264.8062</f>
        <v>-0.0907652307027541</v>
      </c>
      <c r="Z38" s="26" t="n">
        <f aca="false">Y38*180/PI()</f>
        <v>-5.20046464579905</v>
      </c>
      <c r="AA38" s="26" t="n">
        <f aca="false">COS(Y38)*COS(X38)</f>
        <v>0.707192928364649</v>
      </c>
      <c r="AB38" s="26" t="n">
        <f aca="false">COS(Y38)*SIN(X38)</f>
        <v>-0.701186447013311</v>
      </c>
      <c r="AC38" s="26" t="n">
        <f aca="false">SIN(Y38)</f>
        <v>-0.0906406564179717</v>
      </c>
      <c r="AD38" s="26" t="n">
        <f aca="false">COS($A$4*(23.4393-46.815*M38/3600))*AB38-SIN($A$4*(23.4393-46.815*M38/3600))*AC38</f>
        <v>-0.607289851544465</v>
      </c>
      <c r="AE38" s="26" t="n">
        <f aca="false">SIN($A$4*(23.4393-46.815*M38/3600))*AB38+COS($A$4*(23.4393-46.815*M38/3600))*AC38</f>
        <v>-0.362045851077089</v>
      </c>
      <c r="AF38" s="26" t="n">
        <f aca="false">SQRT(1-AE38*AE38)</f>
        <v>0.932160287567469</v>
      </c>
      <c r="AG38" s="10" t="n">
        <f aca="false">ATAN(AE38/AF38)/$A$4</f>
        <v>-21.2258920124198</v>
      </c>
      <c r="AH38" s="26" t="n">
        <f aca="false">IF(24*ATAN(AD38/(AA38+AF38))/PI()&gt;0,24*ATAN(AD38/(AA38+AF38))/PI(),24*ATAN(AD38/(AA38+AF38))/PI()+24)</f>
        <v>21.2897485159238</v>
      </c>
      <c r="AI38" s="10" t="n">
        <f aca="false">IF(N38-15*AH38&gt;0,N38-15*AH38,360+N38-15*AH38)</f>
        <v>234.800966694635</v>
      </c>
      <c r="AJ38" s="18" t="n">
        <f aca="false">0.950724+0.051818*COS(Q38)+0.009531*COS(2*S38-Q38)+0.007843*COS(2*S38)+0.002824*COS(2*Q38)+0.000857*COS(2*S38+Q38)+0.000533*COS(2*S38-R38)+0.000401*COS(2*S38-R38-Q38)+0.00032*COS(Q38-R38)-0.000271*COS(S38)</f>
        <v>0.988575591532368</v>
      </c>
      <c r="AK38" s="50" t="n">
        <f aca="false">ASIN(COS($A$4*$G$2)*COS($A$4*AG38)*COS($A$4*AI38)+SIN($A$4*$G$2)*SIN($A$4*AG38))/$A$4</f>
        <v>-20.6793689306269</v>
      </c>
      <c r="AL38" s="18" t="n">
        <f aca="false">ASIN((0.9983271+0.0016764*COS($A$4*2*$G$2))*COS($A$4*AK38)*SIN($A$4*AJ38))/$A$4</f>
        <v>0.92440695309749</v>
      </c>
      <c r="AM38" s="18" t="n">
        <f aca="false">AK38-AL38</f>
        <v>-21.6037758837244</v>
      </c>
      <c r="AN38" s="10" t="n">
        <f aca="false"> IF(280.4664567 + 360007.6982779*M38/10 + 0.03032028*M38^2/100 + M38^3/49931000&lt;0,MOD(280.4664567 + 360007.6982779*M38/10 + 0.03032028*M38^2/100 + M38^3/49931000+360,360),MOD(280.4664567 + 360007.6982779*M38/10 + 0.03032028*M38^2/100 + M38^3/49931000,360))</f>
        <v>194.15297694893</v>
      </c>
      <c r="AO38" s="27" t="n">
        <f aca="false"> AN38 + (1.9146 - 0.004817*M38 - 0.000014*M38^2)*SIN(R38)+ (0.019993 - 0.000101*M38)*SIN(2*R38)+ 0.00029*SIN(3*R38)</f>
        <v>192.239388094674</v>
      </c>
      <c r="AP38" s="18" t="n">
        <f aca="false">ACOS(COS(X38-$A$4*AO38)*COS(Y38))/$A$4</f>
        <v>122.851908081791</v>
      </c>
      <c r="AQ38" s="25" t="n">
        <f aca="false">180 - AP38 -0.1468*(1-0.0549*SIN(R38))*SIN($A$4*AP38)/(1-0.0167*SIN($A$4*AO38))</f>
        <v>57.0184580418151</v>
      </c>
      <c r="AR38" s="25" t="n">
        <f aca="false">SIN($A$4*AI38)</f>
        <v>-0.81715462378731</v>
      </c>
      <c r="AS38" s="25" t="n">
        <f aca="false">COS($A$4*AI38)*SIN($A$4*$G$2) - TAN($A$4*AG38)*COS($A$4*$G$2)</f>
        <v>0.582743607946162</v>
      </c>
      <c r="AT38" s="25" t="n">
        <f aca="false">IF(OR(AND(AR38*AS38&gt;0), AND(AR38&lt;0,AS38&gt;0)), MOD(ATAN2(AS38,AR38)/$A$4+360,360),  ATAN2(AS38,AR38)/$A$4)</f>
        <v>305.494092029276</v>
      </c>
      <c r="AU38" s="29" t="n">
        <f aca="false">(1+SIN($A$4*H38)*SIN($A$4*AJ38))*120*ASIN(0.272481*SIN($A$4*AJ38))/$A$4</f>
        <v>32.1173589564019</v>
      </c>
      <c r="AV38" s="10" t="n">
        <f aca="false">COS(X38)</f>
        <v>0.710116004730717</v>
      </c>
      <c r="AW38" s="10" t="n">
        <f aca="false">SIN(X38)</f>
        <v>-0.704084696485646</v>
      </c>
      <c r="AX38" s="30" t="n">
        <f aca="false"> 385000.56 + (-20905355*COS(Q38) - 3699111*COS(2*S38-Q38) - 2955968*COS(2*S38) - 569925*COS(2*Q38) + (1-0.002516*M38)*48888*COS(R38) - 3149*COS(2*T38)  +246158*COS(2*S38-2*Q38) -(1-0.002516*M38)*152138*COS(2*S38-R38-Q38) -170733*COS(2*S38+Q38) -(1-0.002516*M38)*204586*COS(2*S38-R38) -(1-0.002516*M38)*129620*COS(R38-Q38)  + 108743*COS(S38) +(1-0.002516*M38)*104755*COS(R38+Q38) +10321*COS(2*S38-2*T38) +79661*COS(Q38-2*T38) -34782*COS(4*S38-Q38) -23210*COS(3*Q38)  -21636*COS(4*S38-2*Q38) +(1-0.002516*M38)*24208*COS(2*S38+R38-Q38) +(1-0.002516*M38)*30824*COS(2*S38+R38) -8379*COS(S38-Q38) -(1-0.002516*M38)*16675*COS(S38+R38)  -(1-0.002516*M38)*12831*COS(2*S38-R38+Q38) -10445*COS(2*S38+2*Q38) -11650*COS(4*S38) +14403*COS(2*S38-3*Q38) -(1-0.002516*M38)*7003*COS(R38-2*Q38)  + (1-0.002516*M38)*10056*COS(2*S38-R38-2*Q38) +6322*COS(S38+Q38) -(1-0.002516*M38)*(1-0.002516*M38)*9884*COS(2*S38-2*R38) +(1-0.002516*M38)*5751*COS(R38+2*Q38) -(1-0.002516*M38)*(1-0.002516*M38)*4950*COS(2*S38-2*R38-Q38)  +4130*COS(2*S38+Q38-2*T38) -(1-0.002516*M38)*3958*COS(4*S38-R38-Q38) +3258*COS(3*S38-Q38) +(1-0.002516*M38)*2616*COS(2*S38+R38+Q38) -(1-0.002516*M38)*1897*COS(4*S38-R38-2*Q38)  -(1-0.002516*M38)*(1-0.002516*M38)*2117*COS(2*R38-Q38) +(1-0.002516*M38)*(1-0.002516*M38)*2354*COS(2*S38+2*R38-Q38) -1423*COS(4*S38+Q38) -1117*COS(4*Q38) -(1-0.002516*M38)*1571*COS(4*S38-R38)  -1739*COS(S38-2*Q38) -4421*COS(2*Q38-2*T38) +(1-0.002516*M38)*(1-0.002516*M38)*1165*COS(2*R38+Q38) +8752*COS(2*S38-Q38-2*T38))/1000</f>
        <v>369541.793676974</v>
      </c>
      <c r="AY38" s="10" t="n">
        <f aca="false">AY37+1/8</f>
        <v>5.5</v>
      </c>
      <c r="AZ38" s="17" t="n">
        <f aca="false">AZ37+1</f>
        <v>37</v>
      </c>
      <c r="BA38" s="32" t="n">
        <f aca="false">ATAN(0.99664719*TAN($A$4*input!$E$2))</f>
        <v>-0.400219206115995</v>
      </c>
      <c r="BB38" s="32" t="n">
        <f aca="false">COS(BA38)</f>
        <v>0.920975608992155</v>
      </c>
      <c r="BC38" s="32" t="n">
        <f aca="false">0.99664719*SIN(BA38)</f>
        <v>-0.388313912533463</v>
      </c>
      <c r="BD38" s="32" t="n">
        <f aca="false">6378.14/AX38</f>
        <v>0.0172595904147591</v>
      </c>
      <c r="BE38" s="33" t="n">
        <f aca="false">MOD(N38-15*AH38,360)</f>
        <v>234.800966694635</v>
      </c>
      <c r="BF38" s="27" t="n">
        <f aca="false">COS($A$4*AG38)*SIN($A$4*BE38)</f>
        <v>-0.761719089096666</v>
      </c>
      <c r="BG38" s="27" t="n">
        <f aca="false">COS($A$4*AG38)*COS($A$4*BE38)-BB38*BD38</f>
        <v>-0.553210123745974</v>
      </c>
      <c r="BH38" s="27" t="n">
        <f aca="false">SIN($A$4*AG38)-BC38*BD38</f>
        <v>-0.355343711994409</v>
      </c>
      <c r="BI38" s="46" t="n">
        <f aca="false">SQRT(BF38^2+BG38^2+BH38^2)</f>
        <v>1.00624379022345</v>
      </c>
      <c r="BJ38" s="35" t="n">
        <f aca="false">AX38*BI38</f>
        <v>371849.135115491</v>
      </c>
    </row>
    <row r="39" customFormat="false" ht="15" hidden="false" customHeight="false" outlineLevel="0" collapsed="false">
      <c r="A39" s="20"/>
      <c r="B39" s="20"/>
      <c r="C39" s="15" t="n">
        <f aca="false">MOD(C38+3,24)</f>
        <v>15</v>
      </c>
      <c r="D39" s="17" t="n">
        <v>5</v>
      </c>
      <c r="E39" s="102" t="n">
        <f aca="false">input!$C$2</f>
        <v>10</v>
      </c>
      <c r="F39" s="102" t="n">
        <f aca="false">input!$D$2</f>
        <v>2022</v>
      </c>
      <c r="G39" s="0"/>
      <c r="H39" s="39" t="n">
        <f aca="false">AM39</f>
        <v>14.0889149800054</v>
      </c>
      <c r="I39" s="48" t="n">
        <f aca="false">H39+1.02/(TAN($A$4*(H39+10.3/(H39+5.11)))*60)</f>
        <v>14.1540605601689</v>
      </c>
      <c r="J39" s="39" t="n">
        <f aca="false">100*(1+COS($A$4*AQ39))/2</f>
        <v>78.4135275218794</v>
      </c>
      <c r="K39" s="48" t="n">
        <f aca="false">IF(AI39&gt;180,AT39-180,AT39+180)</f>
        <v>106.443733312223</v>
      </c>
      <c r="L39" s="10" t="n">
        <f aca="false">L38+1/8</f>
        <v>2459858.125</v>
      </c>
      <c r="M39" s="49" t="n">
        <f aca="false">(L39-2451545)/36525</f>
        <v>0.227600958247776</v>
      </c>
      <c r="N39" s="15" t="n">
        <f aca="false">MOD(280.46061837+360.98564736629*(L39-2451545)+0.000387933*M39^2-M39^3/38710000+$G$4,360)</f>
        <v>239.270400354639</v>
      </c>
      <c r="O39" s="18" t="n">
        <f aca="false">0.60643382+1336.85522467*M39 - 0.00000313*M39^2 - INT(0.60643382+1336.85522467*M39 - 0.00000313*M39^2)</f>
        <v>0.87596383129636</v>
      </c>
      <c r="P39" s="15" t="n">
        <f aca="false">22640*SIN(Q39)-4586*SIN(Q39-2*S39)+2370*SIN(2*S39)+769*SIN(2*Q39)-668*SIN(R39)-412*SIN(2*T39)-212*SIN(2*Q39-2*S39)-206*SIN(Q39+R39-2*S39)+192*SIN(Q39+2*S39)-165*SIN(R39-2*S39)-125*SIN(S39)-110*SIN(Q39+R39)+148*SIN(Q39-R39)-55*SIN(2*T39-2*S39)</f>
        <v>6050.3611815117</v>
      </c>
      <c r="Q39" s="18" t="n">
        <f aca="false">2*PI()*(0.374897+1325.55241*M39 - INT(0.374897+1325.55241*M39))</f>
        <v>0.451734154475038</v>
      </c>
      <c r="R39" s="26" t="n">
        <f aca="false">2*PI()*(0.99312619+99.99735956*M39 - 0.00000044*M39^2 - INT(0.99312619+99.99735956*M39- 0.00000044*M39^2))</f>
        <v>4.72885736810468</v>
      </c>
      <c r="S39" s="26" t="n">
        <f aca="false">2*PI()*(0.827361+1236.853086*M39 - INT(0.827361+1236.853086*M39))</f>
        <v>2.11308916194998</v>
      </c>
      <c r="T39" s="26" t="n">
        <f aca="false">2*PI()*(0.259086+1342.227825*M39 - INT(0.259086+1342.227825*M39))</f>
        <v>4.72134350482372</v>
      </c>
      <c r="U39" s="26" t="n">
        <f aca="false">T39+(P39+412*SIN(2*T39)+541*SIN(R39))/206264.8062</f>
        <v>4.74801822703739</v>
      </c>
      <c r="V39" s="26" t="n">
        <f aca="false">T39-2*S39</f>
        <v>0.495165180923761</v>
      </c>
      <c r="W39" s="25" t="n">
        <f aca="false">-526*SIN(V39)+44*SIN(Q39+V39)-31*SIN(-Q39+V39)-23*SIN(R39+V39)+11*SIN(-R39+V39)-25*SIN(-2*Q39+T39)+21*SIN(-Q39+T39)</f>
        <v>-189.087373831776</v>
      </c>
      <c r="X39" s="26" t="n">
        <f aca="false">2*PI()*(O39+P39/1296000-INT(O39+P39/1296000))</f>
        <v>5.53317605318654</v>
      </c>
      <c r="Y39" s="26" t="n">
        <f aca="false">(18520*SIN(U39)+W39)/206264.8062</f>
        <v>-0.0906472311858671</v>
      </c>
      <c r="Z39" s="26" t="n">
        <f aca="false">Y39*180/PI()</f>
        <v>-5.19370377149684</v>
      </c>
      <c r="AA39" s="26" t="n">
        <f aca="false">COS(Y39)*COS(X39)</f>
        <v>0.728678530072525</v>
      </c>
      <c r="AB39" s="26" t="n">
        <f aca="false">COS(Y39)*SIN(X39)</f>
        <v>-0.678846934569576</v>
      </c>
      <c r="AC39" s="26" t="n">
        <f aca="false">SIN(Y39)</f>
        <v>-0.0905231419960301</v>
      </c>
      <c r="AD39" s="26" t="n">
        <f aca="false">COS($A$4*(23.4393-46.815*M39/3600))*AB39-SIN($A$4*(23.4393-46.815*M39/3600))*AC39</f>
        <v>-0.586840031251784</v>
      </c>
      <c r="AE39" s="26" t="n">
        <f aca="false">SIN($A$4*(23.4393-46.815*M39/3600))*AB39+COS($A$4*(23.4393-46.815*M39/3600))*AC39</f>
        <v>-0.353052938709975</v>
      </c>
      <c r="AF39" s="26" t="n">
        <f aca="false">SQRT(1-AE39*AE39)</f>
        <v>0.93560334675986</v>
      </c>
      <c r="AG39" s="10" t="n">
        <f aca="false">ATAN(AE39/AF39)/$A$4</f>
        <v>-20.6741605907954</v>
      </c>
      <c r="AH39" s="26" t="n">
        <f aca="false">IF(24*ATAN(AD39/(AA39+AF39))/PI()&gt;0,24*ATAN(AD39/(AA39+AF39))/PI(),24*ATAN(AD39/(AA39+AF39))/PI()+24)</f>
        <v>21.4102551493103</v>
      </c>
      <c r="AI39" s="10" t="n">
        <f aca="false">IF(N39-15*AH39&gt;0,N39-15*AH39,360+N39-15*AH39)</f>
        <v>278.116573114985</v>
      </c>
      <c r="AJ39" s="18" t="n">
        <f aca="false">0.950724+0.051818*COS(Q39)+0.009531*COS(2*S39-Q39)+0.007843*COS(2*S39)+0.002824*COS(2*Q39)+0.000857*COS(2*S39+Q39)+0.000533*COS(2*S39-R39)+0.000401*COS(2*S39-R39-Q39)+0.00032*COS(Q39-R39)-0.000271*COS(S39)</f>
        <v>0.988416091341489</v>
      </c>
      <c r="AK39" s="50" t="n">
        <f aca="false">ASIN(COS($A$4*$G$2)*COS($A$4*AG39)*COS($A$4*AI39)+SIN($A$4*$G$2)*SIN($A$4*AG39))/$A$4</f>
        <v>15.0429709801892</v>
      </c>
      <c r="AL39" s="18" t="n">
        <f aca="false">ASIN((0.9983271+0.0016764*COS($A$4*2*$G$2))*COS($A$4*AK39)*SIN($A$4*AJ39))/$A$4</f>
        <v>0.954056000183777</v>
      </c>
      <c r="AM39" s="18" t="n">
        <f aca="false">AK39-AL39</f>
        <v>14.0889149800054</v>
      </c>
      <c r="AN39" s="10" t="n">
        <f aca="false"> IF(280.4664567 + 360007.6982779*M39/10 + 0.03032028*M39^2/100 + M39^3/49931000&lt;0,MOD(280.4664567 + 360007.6982779*M39/10 + 0.03032028*M39^2/100 + M39^3/49931000+360,360),MOD(280.4664567 + 360007.6982779*M39/10 + 0.03032028*M39^2/100 + M39^3/49931000,360))</f>
        <v>194.276182869415</v>
      </c>
      <c r="AO39" s="27" t="n">
        <f aca="false"> AN39 + (1.9146 - 0.004817*M39 - 0.000014*M39^2)*SIN(R39)+ (0.019993 - 0.000101*M39)*SIN(2*R39)+ 0.00029*SIN(3*R39)</f>
        <v>192.362571438303</v>
      </c>
      <c r="AP39" s="18" t="n">
        <f aca="false">ACOS(COS(X39-$A$4*AO39)*COS(Y39))/$A$4</f>
        <v>124.502549665674</v>
      </c>
      <c r="AQ39" s="25" t="n">
        <f aca="false">180 - AP39 -0.1468*(1-0.0549*SIN(R39))*SIN($A$4*AP39)/(1-0.0167*SIN($A$4*AO39))</f>
        <v>55.3702861829614</v>
      </c>
      <c r="AR39" s="25" t="n">
        <f aca="false">SIN($A$4*AI39)</f>
        <v>-0.989982859854573</v>
      </c>
      <c r="AS39" s="25" t="n">
        <f aca="false">COS($A$4*AI39)*SIN($A$4*$G$2) - TAN($A$4*AG39)*COS($A$4*$G$2)</f>
        <v>0.292189084975386</v>
      </c>
      <c r="AT39" s="25" t="n">
        <f aca="false">IF(OR(AND(AR39*AS39&gt;0), AND(AR39&lt;0,AS39&gt;0)), MOD(ATAN2(AS39,AR39)/$A$4+360,360),  ATAN2(AS39,AR39)/$A$4)</f>
        <v>286.443733312223</v>
      </c>
      <c r="AU39" s="29" t="n">
        <f aca="false">(1+SIN($A$4*H39)*SIN($A$4*AJ39))*120*ASIN(0.272481*SIN($A$4*AJ39))/$A$4</f>
        <v>32.453175635377</v>
      </c>
      <c r="AV39" s="10" t="n">
        <f aca="false">COS(X39)</f>
        <v>0.731682560962145</v>
      </c>
      <c r="AW39" s="10" t="n">
        <f aca="false">SIN(X39)</f>
        <v>-0.681645531037854</v>
      </c>
      <c r="AX39" s="30" t="n">
        <f aca="false"> 385000.56 + (-20905355*COS(Q39) - 3699111*COS(2*S39-Q39) - 2955968*COS(2*S39) - 569925*COS(2*Q39) + (1-0.002516*M39)*48888*COS(R39) - 3149*COS(2*T39)  +246158*COS(2*S39-2*Q39) -(1-0.002516*M39)*152138*COS(2*S39-R39-Q39) -170733*COS(2*S39+Q39) -(1-0.002516*M39)*204586*COS(2*S39-R39) -(1-0.002516*M39)*129620*COS(R39-Q39)  + 108743*COS(S39) +(1-0.002516*M39)*104755*COS(R39+Q39) +10321*COS(2*S39-2*T39) +79661*COS(Q39-2*T39) -34782*COS(4*S39-Q39) -23210*COS(3*Q39)  -21636*COS(4*S39-2*Q39) +(1-0.002516*M39)*24208*COS(2*S39+R39-Q39) +(1-0.002516*M39)*30824*COS(2*S39+R39) -8379*COS(S39-Q39) -(1-0.002516*M39)*16675*COS(S39+R39)  -(1-0.002516*M39)*12831*COS(2*S39-R39+Q39) -10445*COS(2*S39+2*Q39) -11650*COS(4*S39) +14403*COS(2*S39-3*Q39) -(1-0.002516*M39)*7003*COS(R39-2*Q39)  + (1-0.002516*M39)*10056*COS(2*S39-R39-2*Q39) +6322*COS(S39+Q39) -(1-0.002516*M39)*(1-0.002516*M39)*9884*COS(2*S39-2*R39) +(1-0.002516*M39)*5751*COS(R39+2*Q39) -(1-0.002516*M39)*(1-0.002516*M39)*4950*COS(2*S39-2*R39-Q39)  +4130*COS(2*S39+Q39-2*T39) -(1-0.002516*M39)*3958*COS(4*S39-R39-Q39) +3258*COS(3*S39-Q39) +(1-0.002516*M39)*2616*COS(2*S39+R39+Q39) -(1-0.002516*M39)*1897*COS(4*S39-R39-2*Q39)  -(1-0.002516*M39)*(1-0.002516*M39)*2117*COS(2*R39-Q39) +(1-0.002516*M39)*(1-0.002516*M39)*2354*COS(2*S39+2*R39-Q39) -1423*COS(4*S39+Q39) -1117*COS(4*Q39) -(1-0.002516*M39)*1571*COS(4*S39-R39)  -1739*COS(S39-2*Q39) -4421*COS(2*Q39-2*T39) +(1-0.002516*M39)*(1-0.002516*M39)*1165*COS(2*R39+Q39) +8752*COS(2*S39-Q39-2*T39))/1000</f>
        <v>369614.951017668</v>
      </c>
      <c r="AY39" s="10" t="n">
        <f aca="false">AY38+1/8</f>
        <v>5.625</v>
      </c>
      <c r="AZ39" s="17" t="n">
        <f aca="false">AZ38+1</f>
        <v>38</v>
      </c>
      <c r="BA39" s="32" t="n">
        <f aca="false">ATAN(0.99664719*TAN($A$4*input!$E$2))</f>
        <v>-0.400219206115995</v>
      </c>
      <c r="BB39" s="32" t="n">
        <f aca="false">COS(BA39)</f>
        <v>0.920975608992155</v>
      </c>
      <c r="BC39" s="32" t="n">
        <f aca="false">0.99664719*SIN(BA39)</f>
        <v>-0.388313912533463</v>
      </c>
      <c r="BD39" s="32" t="n">
        <f aca="false">6378.14/AX39</f>
        <v>0.0172561742495506</v>
      </c>
      <c r="BE39" s="33" t="n">
        <f aca="false">MOD(N39-15*AH39,360)</f>
        <v>278.116573114985</v>
      </c>
      <c r="BF39" s="27" t="n">
        <f aca="false">COS($A$4*AG39)*SIN($A$4*BE39)</f>
        <v>-0.926231276914836</v>
      </c>
      <c r="BG39" s="27" t="n">
        <f aca="false">COS($A$4*AG39)*COS($A$4*BE39)-BB39*BD39</f>
        <v>0.116203071517968</v>
      </c>
      <c r="BH39" s="27" t="n">
        <f aca="false">SIN($A$4*AG39)-BC39*BD39</f>
        <v>-0.346352126171772</v>
      </c>
      <c r="BI39" s="46" t="n">
        <f aca="false">SQRT(BF39^2+BG39^2+BH39^2)</f>
        <v>0.995674307928654</v>
      </c>
      <c r="BJ39" s="35" t="n">
        <f aca="false">AX39*BI39</f>
        <v>368016.1105546</v>
      </c>
    </row>
    <row r="40" customFormat="false" ht="15" hidden="false" customHeight="false" outlineLevel="0" collapsed="false">
      <c r="A40" s="20"/>
      <c r="B40" s="20"/>
      <c r="C40" s="15" t="n">
        <f aca="false">MOD(C39+3,24)</f>
        <v>18</v>
      </c>
      <c r="D40" s="17" t="n">
        <v>5</v>
      </c>
      <c r="E40" s="102" t="n">
        <f aca="false">input!$C$2</f>
        <v>10</v>
      </c>
      <c r="F40" s="102" t="n">
        <f aca="false">input!$D$2</f>
        <v>2022</v>
      </c>
      <c r="G40" s="0"/>
      <c r="H40" s="39" t="n">
        <f aca="false">AM40</f>
        <v>53.5459236592874</v>
      </c>
      <c r="I40" s="48" t="n">
        <f aca="false">H40+1.02/(TAN($A$4*(H40+10.3/(H40+5.11)))*60)</f>
        <v>53.5584015711494</v>
      </c>
      <c r="J40" s="39" t="n">
        <f aca="false">100*(1+COS($A$4*AQ40))/2</f>
        <v>79.5848232125261</v>
      </c>
      <c r="K40" s="48" t="n">
        <f aca="false">IF(AI40&gt;180,AT40-180,AT40+180)</f>
        <v>92.8811546480733</v>
      </c>
      <c r="L40" s="10" t="n">
        <f aca="false">L39+1/8</f>
        <v>2459858.25</v>
      </c>
      <c r="M40" s="49" t="n">
        <f aca="false">(L40-2451545)/36525</f>
        <v>0.227604380561259</v>
      </c>
      <c r="N40" s="15" t="n">
        <f aca="false">MOD(280.46061837+360.98564736629*(L40-2451545)+0.000387933*M40^2-M40^3/38710000+$G$4,360)</f>
        <v>284.393606276251</v>
      </c>
      <c r="O40" s="18" t="n">
        <f aca="false">0.60643382+1336.85522467*M40 - 0.00000313*M40^2 - INT(0.60643382+1336.85522467*M40 - 0.00000313*M40^2)</f>
        <v>0.880538968952919</v>
      </c>
      <c r="P40" s="15" t="n">
        <f aca="false">22640*SIN(Q40)-4586*SIN(Q40-2*S40)+2370*SIN(2*S40)+769*SIN(2*Q40)-668*SIN(R40)-412*SIN(2*T40)-212*SIN(2*Q40-2*S40)-206*SIN(Q40+R40-2*S40)+192*SIN(Q40+2*S40)-165*SIN(R40-2*S40)-125*SIN(S40)-110*SIN(Q40+R40)+148*SIN(Q40-R40)-55*SIN(2*T40-2*S40)</f>
        <v>6539.81660104587</v>
      </c>
      <c r="Q40" s="18" t="n">
        <f aca="false">2*PI()*(0.374897+1325.55241*M40 - INT(0.374897+1325.55241*M40))</f>
        <v>0.480237547447194</v>
      </c>
      <c r="R40" s="26" t="n">
        <f aca="false">2*PI()*(0.99312619+99.99735956*M40 - 0.00000044*M40^2 - INT(0.99312619+99.99735956*M40- 0.00000044*M40^2))</f>
        <v>4.73100761430278</v>
      </c>
      <c r="S40" s="26" t="n">
        <f aca="false">2*PI()*(0.827361+1236.853086*M40 - INT(0.827361+1236.853086*M40))</f>
        <v>2.13968525071526</v>
      </c>
      <c r="T40" s="26" t="n">
        <f aca="false">2*PI()*(0.259086+1342.227825*M40 - INT(0.259086+1342.227825*M40))</f>
        <v>4.75020546974148</v>
      </c>
      <c r="U40" s="26" t="n">
        <f aca="false">T40+(P40+412*SIN(2*T40)+541*SIN(R40))/206264.8062</f>
        <v>4.77913808015988</v>
      </c>
      <c r="V40" s="26" t="n">
        <f aca="false">T40-2*S40</f>
        <v>0.470834968310959</v>
      </c>
      <c r="W40" s="25" t="n">
        <f aca="false">-526*SIN(V40)+44*SIN(Q40+V40)-31*SIN(-Q40+V40)-23*SIN(R40+V40)+11*SIN(-R40+V40)-25*SIN(-2*Q40+T40)+21*SIN(-Q40+T40)</f>
        <v>-176.192132808132</v>
      </c>
      <c r="X40" s="26" t="n">
        <f aca="false">2*PI()*(O40+P40/1296000-INT(O40+P40/1296000))</f>
        <v>5.56429543772539</v>
      </c>
      <c r="Y40" s="26" t="n">
        <f aca="false">(18520*SIN(U40)+W40)/206264.8062</f>
        <v>-0.0904417500816079</v>
      </c>
      <c r="Z40" s="26" t="n">
        <f aca="false">Y40*180/PI()</f>
        <v>-5.1819305714531</v>
      </c>
      <c r="AA40" s="26" t="n">
        <f aca="false">COS(Y40)*COS(X40)</f>
        <v>0.749461597792484</v>
      </c>
      <c r="AB40" s="26" t="n">
        <f aca="false">COS(Y40)*SIN(X40)</f>
        <v>-0.655858126060573</v>
      </c>
      <c r="AC40" s="26" t="n">
        <f aca="false">SIN(Y40)</f>
        <v>-0.0903185026151967</v>
      </c>
      <c r="AD40" s="26" t="n">
        <f aca="false">COS($A$4*(23.4393-46.815*M40/3600))*AB40-SIN($A$4*(23.4393-46.815*M40/3600))*AC40</f>
        <v>-0.565829132352443</v>
      </c>
      <c r="AE40" s="26" t="n">
        <f aca="false">SIN($A$4*(23.4393-46.815*M40/3600))*AB40+COS($A$4*(23.4393-46.815*M40/3600))*AC40</f>
        <v>-0.343721844542385</v>
      </c>
      <c r="AF40" s="26" t="n">
        <f aca="false">SQRT(1-AE40*AE40)</f>
        <v>0.93907150610823</v>
      </c>
      <c r="AG40" s="10" t="n">
        <f aca="false">ATAN(AE40/AF40)/$A$4</f>
        <v>-20.1037919232666</v>
      </c>
      <c r="AH40" s="26" t="n">
        <f aca="false">IF(24*ATAN(AD40/(AA40+AF40))/PI()&gt;0,24*ATAN(AD40/(AA40+AF40))/PI(),24*ATAN(AD40/(AA40+AF40))/PI()+24)</f>
        <v>21.5298596918688</v>
      </c>
      <c r="AI40" s="10" t="n">
        <f aca="false">IF(N40-15*AH40&gt;0,N40-15*AH40,360+N40-15*AH40)</f>
        <v>321.445710898219</v>
      </c>
      <c r="AJ40" s="18" t="n">
        <f aca="false">0.950724+0.051818*COS(Q40)+0.009531*COS(2*S40-Q40)+0.007843*COS(2*S40)+0.002824*COS(2*Q40)+0.000857*COS(2*S40+Q40)+0.000533*COS(2*S40-R40)+0.000401*COS(2*S40-R40-Q40)+0.00032*COS(Q40-R40)-0.000271*COS(S40)</f>
        <v>0.988226947872121</v>
      </c>
      <c r="AK40" s="50" t="n">
        <f aca="false">ASIN(COS($A$4*$G$2)*COS($A$4*AG40)*COS($A$4*AI40)+SIN($A$4*$G$2)*SIN($A$4*AG40))/$A$4</f>
        <v>54.1247337381965</v>
      </c>
      <c r="AL40" s="18" t="n">
        <f aca="false">ASIN((0.9983271+0.0016764*COS($A$4*2*$G$2))*COS($A$4*AK40)*SIN($A$4*AJ40))/$A$4</f>
        <v>0.57881007890915</v>
      </c>
      <c r="AM40" s="18" t="n">
        <f aca="false">AK40-AL40</f>
        <v>53.5459236592874</v>
      </c>
      <c r="AN40" s="10" t="n">
        <f aca="false"> IF(280.4664567 + 360007.6982779*M40/10 + 0.03032028*M40^2/100 + M40^3/49931000&lt;0,MOD(280.4664567 + 360007.6982779*M40/10 + 0.03032028*M40^2/100 + M40^3/49931000+360,360),MOD(280.4664567 + 360007.6982779*M40/10 + 0.03032028*M40^2/100 + M40^3/49931000,360))</f>
        <v>194.399388789901</v>
      </c>
      <c r="AO40" s="27" t="n">
        <f aca="false"> AN40 + (1.9146 - 0.004817*M40 - 0.000014*M40^2)*SIN(R40)+ (0.019993 - 0.000101*M40)*SIN(2*R40)+ 0.00029*SIN(3*R40)</f>
        <v>192.485763628035</v>
      </c>
      <c r="AP40" s="18" t="n">
        <f aca="false">ACOS(COS(X40-$A$4*AO40)*COS(Y40))/$A$4</f>
        <v>126.152897577297</v>
      </c>
      <c r="AQ40" s="25" t="n">
        <f aca="false">180 - AP40 -0.1468*(1-0.0549*SIN(R40))*SIN($A$4*AP40)/(1-0.0167*SIN($A$4*AO40))</f>
        <v>53.722512907639</v>
      </c>
      <c r="AR40" s="25" t="n">
        <f aca="false">SIN($A$4*AI40)</f>
        <v>-0.623255896757412</v>
      </c>
      <c r="AS40" s="25" t="n">
        <f aca="false">COS($A$4*AI40)*SIN($A$4*$G$2) - TAN($A$4*AG40)*COS($A$4*$G$2)</f>
        <v>0.0313672618024079</v>
      </c>
      <c r="AT40" s="25" t="n">
        <f aca="false">IF(OR(AND(AR40*AS40&gt;0), AND(AR40&lt;0,AS40&gt;0)), MOD(ATAN2(AS40,AR40)/$A$4+360,360),  ATAN2(AS40,AR40)/$A$4)</f>
        <v>272.881154648073</v>
      </c>
      <c r="AU40" s="29" t="n">
        <f aca="false">(1+SIN($A$4*H40)*SIN($A$4*AJ40))*120*ASIN(0.272481*SIN($A$4*AJ40))/$A$4</f>
        <v>32.7595168702636</v>
      </c>
      <c r="AV40" s="10" t="n">
        <f aca="false">COS(X40)</f>
        <v>0.752537268797512</v>
      </c>
      <c r="AW40" s="10" t="n">
        <f aca="false">SIN(X40)</f>
        <v>-0.658549663329032</v>
      </c>
      <c r="AX40" s="30" t="n">
        <f aca="false"> 385000.56 + (-20905355*COS(Q40) - 3699111*COS(2*S40-Q40) - 2955968*COS(2*S40) - 569925*COS(2*Q40) + (1-0.002516*M40)*48888*COS(R40) - 3149*COS(2*T40)  +246158*COS(2*S40-2*Q40) -(1-0.002516*M40)*152138*COS(2*S40-R40-Q40) -170733*COS(2*S40+Q40) -(1-0.002516*M40)*204586*COS(2*S40-R40) -(1-0.002516*M40)*129620*COS(R40-Q40)  + 108743*COS(S40) +(1-0.002516*M40)*104755*COS(R40+Q40) +10321*COS(2*S40-2*T40) +79661*COS(Q40-2*T40) -34782*COS(4*S40-Q40) -23210*COS(3*Q40)  -21636*COS(4*S40-2*Q40) +(1-0.002516*M40)*24208*COS(2*S40+R40-Q40) +(1-0.002516*M40)*30824*COS(2*S40+R40) -8379*COS(S40-Q40) -(1-0.002516*M40)*16675*COS(S40+R40)  -(1-0.002516*M40)*12831*COS(2*S40-R40+Q40) -10445*COS(2*S40+2*Q40) -11650*COS(4*S40) +14403*COS(2*S40-3*Q40) -(1-0.002516*M40)*7003*COS(R40-2*Q40)  + (1-0.002516*M40)*10056*COS(2*S40-R40-2*Q40) +6322*COS(S40+Q40) -(1-0.002516*M40)*(1-0.002516*M40)*9884*COS(2*S40-2*R40) +(1-0.002516*M40)*5751*COS(R40+2*Q40) -(1-0.002516*M40)*(1-0.002516*M40)*4950*COS(2*S40-2*R40-Q40)  +4130*COS(2*S40+Q40-2*T40) -(1-0.002516*M40)*3958*COS(4*S40-R40-Q40) +3258*COS(3*S40-Q40) +(1-0.002516*M40)*2616*COS(2*S40+R40+Q40) -(1-0.002516*M40)*1897*COS(4*S40-R40-2*Q40)  -(1-0.002516*M40)*(1-0.002516*M40)*2117*COS(2*R40-Q40) +(1-0.002516*M40)*(1-0.002516*M40)*2354*COS(2*S40+2*R40-Q40) -1423*COS(4*S40+Q40) -1117*COS(4*Q40) -(1-0.002516*M40)*1571*COS(4*S40-R40)  -1739*COS(S40-2*Q40) -4421*COS(2*Q40-2*T40) +(1-0.002516*M40)*(1-0.002516*M40)*1165*COS(2*R40+Q40) +8752*COS(2*S40-Q40-2*T40))/1000</f>
        <v>369699.425235987</v>
      </c>
      <c r="AY40" s="10" t="n">
        <f aca="false">AY39+1/8</f>
        <v>5.75</v>
      </c>
      <c r="AZ40" s="17" t="n">
        <f aca="false">AZ39+1</f>
        <v>39</v>
      </c>
      <c r="BA40" s="32" t="n">
        <f aca="false">ATAN(0.99664719*TAN($A$4*input!$E$2))</f>
        <v>-0.400219206115995</v>
      </c>
      <c r="BB40" s="32" t="n">
        <f aca="false">COS(BA40)</f>
        <v>0.920975608992155</v>
      </c>
      <c r="BC40" s="32" t="n">
        <f aca="false">0.99664719*SIN(BA40)</f>
        <v>-0.388313912533463</v>
      </c>
      <c r="BD40" s="32" t="n">
        <f aca="false">6378.14/AX40</f>
        <v>0.0172522313117709</v>
      </c>
      <c r="BE40" s="33" t="n">
        <f aca="false">MOD(N40-15*AH40,360)</f>
        <v>321.445710898219</v>
      </c>
      <c r="BF40" s="27" t="n">
        <f aca="false">COS($A$4*AG40)*SIN($A$4*BE40)</f>
        <v>-0.585281853658819</v>
      </c>
      <c r="BG40" s="27" t="n">
        <f aca="false">COS($A$4*AG40)*COS($A$4*BE40)-BB40*BD40</f>
        <v>0.718481897697703</v>
      </c>
      <c r="BH40" s="27" t="n">
        <f aca="false">SIN($A$4*AG40)-BC40*BD40</f>
        <v>-0.337022563101779</v>
      </c>
      <c r="BI40" s="46" t="n">
        <f aca="false">SQRT(BF40^2+BG40^2+BH40^2)</f>
        <v>0.986080774369569</v>
      </c>
      <c r="BJ40" s="35" t="n">
        <f aca="false">AX40*BI40</f>
        <v>364553.495520686</v>
      </c>
    </row>
    <row r="41" customFormat="false" ht="15" hidden="false" customHeight="false" outlineLevel="0" collapsed="false">
      <c r="A41" s="20"/>
      <c r="B41" s="20"/>
      <c r="C41" s="15" t="n">
        <f aca="false">MOD(C40+3,24)</f>
        <v>21</v>
      </c>
      <c r="D41" s="17" t="n">
        <v>5</v>
      </c>
      <c r="E41" s="102" t="n">
        <f aca="false">input!$C$2</f>
        <v>10</v>
      </c>
      <c r="F41" s="102" t="n">
        <f aca="false">input!$D$2</f>
        <v>2022</v>
      </c>
      <c r="G41" s="0"/>
      <c r="H41" s="39" t="n">
        <f aca="false">AM41</f>
        <v>84.2416933994954</v>
      </c>
      <c r="I41" s="48" t="n">
        <f aca="false">H41+1.02/(TAN($A$4*(H41+10.3/(H41+5.11)))*60)</f>
        <v>84.2433731555576</v>
      </c>
      <c r="J41" s="39" t="n">
        <f aca="false">100*(1+COS($A$4*AQ41))/2</f>
        <v>80.7313081728414</v>
      </c>
      <c r="K41" s="48" t="n">
        <f aca="false">IF(AI41&gt;180,AT41-180,AT41+180)</f>
        <v>307.094117396081</v>
      </c>
      <c r="L41" s="10" t="n">
        <f aca="false">L40+1/8</f>
        <v>2459858.375</v>
      </c>
      <c r="M41" s="49" t="n">
        <f aca="false">(L41-2451545)/36525</f>
        <v>0.227607802874743</v>
      </c>
      <c r="N41" s="15" t="n">
        <f aca="false">MOD(280.46061837+360.98564736629*(L41-2451545)+0.000387933*M41^2-M41^3/38710000+$G$4,360)</f>
        <v>329.516812197864</v>
      </c>
      <c r="O41" s="18" t="n">
        <f aca="false">0.60643382+1336.85522467*M41 - 0.00000313*M41^2 - INT(0.60643382+1336.85522467*M41 - 0.00000313*M41^2)</f>
        <v>0.885114106609478</v>
      </c>
      <c r="P41" s="15" t="n">
        <f aca="false">22640*SIN(Q41)-4586*SIN(Q41-2*S41)+2370*SIN(2*S41)+769*SIN(2*Q41)-668*SIN(R41)-412*SIN(2*T41)-212*SIN(2*Q41-2*S41)-206*SIN(Q41+R41-2*S41)+192*SIN(Q41+2*S41)-165*SIN(R41-2*S41)-125*SIN(S41)-110*SIN(Q41+R41)+148*SIN(Q41-R41)-55*SIN(2*T41-2*S41)</f>
        <v>7027.85657472603</v>
      </c>
      <c r="Q41" s="18" t="n">
        <f aca="false">2*PI()*(0.374897+1325.55241*M41 - INT(0.374897+1325.55241*M41))</f>
        <v>0.508740940418992</v>
      </c>
      <c r="R41" s="26" t="n">
        <f aca="false">2*PI()*(0.99312619+99.99735956*M41 - 0.00000044*M41^2 - INT(0.99312619+99.99735956*M41- 0.00000044*M41^2))</f>
        <v>4.73315786050088</v>
      </c>
      <c r="S41" s="26" t="n">
        <f aca="false">2*PI()*(0.827361+1236.853086*M41 - INT(0.827361+1236.853086*M41))</f>
        <v>2.16628133947982</v>
      </c>
      <c r="T41" s="26" t="n">
        <f aca="false">2*PI()*(0.259086+1342.227825*M41 - INT(0.259086+1342.227825*M41))</f>
        <v>4.77906743465924</v>
      </c>
      <c r="U41" s="26" t="n">
        <f aca="false">T41+(P41+412*SIN(2*T41)+541*SIN(R41))/206264.8062</f>
        <v>4.81025158589155</v>
      </c>
      <c r="V41" s="26" t="n">
        <f aca="false">T41-2*S41</f>
        <v>0.446504755699588</v>
      </c>
      <c r="W41" s="25" t="n">
        <f aca="false">-526*SIN(V41)+44*SIN(Q41+V41)-31*SIN(-Q41+V41)-23*SIN(R41+V41)+11*SIN(-R41+V41)-25*SIN(-2*Q41+T41)+21*SIN(-Q41+T41)</f>
        <v>-163.185964423327</v>
      </c>
      <c r="X41" s="26" t="n">
        <f aca="false">2*PI()*(O41+P41/1296000-INT(O41+P41/1296000))</f>
        <v>5.59540795998909</v>
      </c>
      <c r="Y41" s="26" t="n">
        <f aca="false">(18520*SIN(U41)+W41)/206264.8062</f>
        <v>-0.0901490332396911</v>
      </c>
      <c r="Z41" s="26" t="n">
        <f aca="false">Y41*180/PI()</f>
        <v>-5.16515913181887</v>
      </c>
      <c r="AA41" s="26" t="n">
        <f aca="false">COS(Y41)*COS(X41)</f>
        <v>0.769521394812906</v>
      </c>
      <c r="AB41" s="26" t="n">
        <f aca="false">COS(Y41)*SIN(X41)</f>
        <v>-0.632243597128724</v>
      </c>
      <c r="AC41" s="26" t="n">
        <f aca="false">SIN(Y41)</f>
        <v>-0.0900269782616995</v>
      </c>
      <c r="AD41" s="26" t="n">
        <f aca="false">COS($A$4*(23.4393-46.815*M41/3600))*AB41-SIN($A$4*(23.4393-46.815*M41/3600))*AC41</f>
        <v>-0.544278690107946</v>
      </c>
      <c r="AE41" s="26" t="n">
        <f aca="false">SIN($A$4*(23.4393-46.815*M41/3600))*AB41+COS($A$4*(23.4393-46.815*M41/3600))*AC41</f>
        <v>-0.334062165501541</v>
      </c>
      <c r="AF41" s="26" t="n">
        <f aca="false">SQRT(1-AE41*AE41)</f>
        <v>0.942551043488055</v>
      </c>
      <c r="AG41" s="10" t="n">
        <f aca="false">ATAN(AE41/AF41)/$A$4</f>
        <v>-19.515518809107</v>
      </c>
      <c r="AH41" s="26" t="n">
        <f aca="false">IF(24*ATAN(AD41/(AA41+AF41))/PI()&gt;0,24*ATAN(AD41/(AA41+AF41))/PI(),24*ATAN(AD41/(AA41+AF41))/PI()+24)</f>
        <v>21.648561252555</v>
      </c>
      <c r="AI41" s="10" t="n">
        <f aca="false">IF(N41-15*AH41&gt;0,N41-15*AH41,360+N41-15*AH41)</f>
        <v>4.78839340953982</v>
      </c>
      <c r="AJ41" s="18" t="n">
        <f aca="false">0.950724+0.051818*COS(Q41)+0.009531*COS(2*S41-Q41)+0.007843*COS(2*S41)+0.002824*COS(2*Q41)+0.000857*COS(2*S41+Q41)+0.000533*COS(2*S41-R41)+0.000401*COS(2*S41-R41-Q41)+0.00032*COS(Q41-R41)-0.000271*COS(S41)</f>
        <v>0.988007474096076</v>
      </c>
      <c r="AK41" s="50" t="n">
        <f aca="false">ASIN(COS($A$4*$G$2)*COS($A$4*AG41)*COS($A$4*AI41)+SIN($A$4*$G$2)*SIN($A$4*AG41))/$A$4</f>
        <v>84.3390968541777</v>
      </c>
      <c r="AL41" s="18" t="n">
        <f aca="false">ASIN((0.9983271+0.0016764*COS($A$4*2*$G$2))*COS($A$4*AK41)*SIN($A$4*AJ41))/$A$4</f>
        <v>0.0974034546822647</v>
      </c>
      <c r="AM41" s="18" t="n">
        <f aca="false">AK41-AL41</f>
        <v>84.2416933994954</v>
      </c>
      <c r="AN41" s="10" t="n">
        <f aca="false"> IF(280.4664567 + 360007.6982779*M41/10 + 0.03032028*M41^2/100 + M41^3/49931000&lt;0,MOD(280.4664567 + 360007.6982779*M41/10 + 0.03032028*M41^2/100 + M41^3/49931000+360,360),MOD(280.4664567 + 360007.6982779*M41/10 + 0.03032028*M41^2/100 + M41^3/49931000,360))</f>
        <v>194.522594710386</v>
      </c>
      <c r="AO41" s="27" t="n">
        <f aca="false"> AN41 + (1.9146 - 0.004817*M41 - 0.000014*M41^2)*SIN(R41)+ (0.019993 - 0.000101*M41)*SIN(2*R41)+ 0.00029*SIN(3*R41)</f>
        <v>192.608964665124</v>
      </c>
      <c r="AP41" s="18" t="n">
        <f aca="false">ACOS(COS(X41-$A$4*AO41)*COS(Y41))/$A$4</f>
        <v>127.8028493438</v>
      </c>
      <c r="AQ41" s="25" t="n">
        <f aca="false">180 - AP41 -0.1468*(1-0.0549*SIN(R41))*SIN($A$4*AP41)/(1-0.0167*SIN($A$4*AO41))</f>
        <v>52.07523831846</v>
      </c>
      <c r="AR41" s="25" t="n">
        <f aca="false">SIN($A$4*AI41)</f>
        <v>0.0834759788511267</v>
      </c>
      <c r="AS41" s="25" t="n">
        <f aca="false">COS($A$4*AI41)*SIN($A$4*$G$2) - TAN($A$4*AG41)*COS($A$4*$G$2)</f>
        <v>-0.0631189152731309</v>
      </c>
      <c r="AT41" s="25" t="n">
        <f aca="false">IF(OR(AND(AR41*AS41&gt;0), AND(AR41&lt;0,AS41&gt;0)), MOD(ATAN2(AS41,AR41)/$A$4+360,360),  ATAN2(AS41,AR41)/$A$4)</f>
        <v>127.094117396081</v>
      </c>
      <c r="AU41" s="29" t="n">
        <f aca="false">(1+SIN($A$4*H41)*SIN($A$4*AJ41))*120*ASIN(0.272481*SIN($A$4*AJ41))/$A$4</f>
        <v>32.8583227580789</v>
      </c>
      <c r="AV41" s="10" t="n">
        <f aca="false">COS(X41)</f>
        <v>0.772658909940217</v>
      </c>
      <c r="AW41" s="10" t="n">
        <f aca="false">SIN(X41)</f>
        <v>-0.634821399206104</v>
      </c>
      <c r="AX41" s="30" t="n">
        <f aca="false"> 385000.56 + (-20905355*COS(Q41) - 3699111*COS(2*S41-Q41) - 2955968*COS(2*S41) - 569925*COS(2*Q41) + (1-0.002516*M41)*48888*COS(R41) - 3149*COS(2*T41)  +246158*COS(2*S41-2*Q41) -(1-0.002516*M41)*152138*COS(2*S41-R41-Q41) -170733*COS(2*S41+Q41) -(1-0.002516*M41)*204586*COS(2*S41-R41) -(1-0.002516*M41)*129620*COS(R41-Q41)  + 108743*COS(S41) +(1-0.002516*M41)*104755*COS(R41+Q41) +10321*COS(2*S41-2*T41) +79661*COS(Q41-2*T41) -34782*COS(4*S41-Q41) -23210*COS(3*Q41)  -21636*COS(4*S41-2*Q41) +(1-0.002516*M41)*24208*COS(2*S41+R41-Q41) +(1-0.002516*M41)*30824*COS(2*S41+R41) -8379*COS(S41-Q41) -(1-0.002516*M41)*16675*COS(S41+R41)  -(1-0.002516*M41)*12831*COS(2*S41-R41+Q41) -10445*COS(2*S41+2*Q41) -11650*COS(4*S41) +14403*COS(2*S41-3*Q41) -(1-0.002516*M41)*7003*COS(R41-2*Q41)  + (1-0.002516*M41)*10056*COS(2*S41-R41-2*Q41) +6322*COS(S41+Q41) -(1-0.002516*M41)*(1-0.002516*M41)*9884*COS(2*S41-2*R41) +(1-0.002516*M41)*5751*COS(R41+2*Q41) -(1-0.002516*M41)*(1-0.002516*M41)*4950*COS(2*S41-2*R41-Q41)  +4130*COS(2*S41+Q41-2*T41) -(1-0.002516*M41)*3958*COS(4*S41-R41-Q41) +3258*COS(3*S41-Q41) +(1-0.002516*M41)*2616*COS(2*S41+R41+Q41) -(1-0.002516*M41)*1897*COS(4*S41-R41-2*Q41)  -(1-0.002516*M41)*(1-0.002516*M41)*2117*COS(2*R41-Q41) +(1-0.002516*M41)*(1-0.002516*M41)*2354*COS(2*S41+2*R41-Q41) -1423*COS(4*S41+Q41) -1117*COS(4*Q41) -(1-0.002516*M41)*1571*COS(4*S41-R41)  -1739*COS(S41-2*Q41) -4421*COS(2*Q41-2*T41) +(1-0.002516*M41)*(1-0.002516*M41)*1165*COS(2*R41+Q41) +8752*COS(2*S41-Q41-2*T41))/1000</f>
        <v>369795.417570454</v>
      </c>
      <c r="AY41" s="10" t="n">
        <f aca="false">AY40+1/8</f>
        <v>5.875</v>
      </c>
      <c r="AZ41" s="17" t="n">
        <f aca="false">AZ40+1</f>
        <v>40</v>
      </c>
      <c r="BA41" s="32" t="n">
        <f aca="false">ATAN(0.99664719*TAN($A$4*input!$E$2))</f>
        <v>-0.400219206115995</v>
      </c>
      <c r="BB41" s="32" t="n">
        <f aca="false">COS(BA41)</f>
        <v>0.920975608992155</v>
      </c>
      <c r="BC41" s="32" t="n">
        <f aca="false">0.99664719*SIN(BA41)</f>
        <v>-0.388313912533463</v>
      </c>
      <c r="BD41" s="32" t="n">
        <f aca="false">6378.14/AX41</f>
        <v>0.0172477529383793</v>
      </c>
      <c r="BE41" s="33" t="n">
        <f aca="false">MOD(N41-15*AH41,360)</f>
        <v>4.78839340953982</v>
      </c>
      <c r="BF41" s="27" t="n">
        <f aca="false">COS($A$4*AG41)*SIN($A$4*BE41)</f>
        <v>0.0786803709723163</v>
      </c>
      <c r="BG41" s="27" t="n">
        <f aca="false">COS($A$4*AG41)*COS($A$4*BE41)-BB41*BD41</f>
        <v>0.923376582355435</v>
      </c>
      <c r="BH41" s="27" t="n">
        <f aca="false">SIN($A$4*AG41)-BC41*BD41</f>
        <v>-0.327364623075629</v>
      </c>
      <c r="BI41" s="46" t="n">
        <f aca="false">SQRT(BF41^2+BG41^2+BH41^2)</f>
        <v>0.982844092448133</v>
      </c>
      <c r="BJ41" s="35" t="n">
        <f aca="false">AX41*BI41</f>
        <v>363451.241573512</v>
      </c>
    </row>
    <row r="42" customFormat="false" ht="15" hidden="false" customHeight="false" outlineLevel="0" collapsed="false">
      <c r="A42" s="0"/>
      <c r="B42" s="20"/>
      <c r="C42" s="15" t="n">
        <f aca="false">MOD(C41+3,24)</f>
        <v>0</v>
      </c>
      <c r="D42" s="36" t="n">
        <v>6</v>
      </c>
      <c r="E42" s="102" t="n">
        <f aca="false">input!$C$2</f>
        <v>10</v>
      </c>
      <c r="F42" s="102" t="n">
        <f aca="false">input!$D$2</f>
        <v>2022</v>
      </c>
      <c r="G42" s="0"/>
      <c r="H42" s="39" t="n">
        <f aca="false">AM42</f>
        <v>44.3497370172837</v>
      </c>
      <c r="I42" s="48" t="n">
        <f aca="false">H42+1.02/(TAN($A$4*(H42+10.3/(H42+5.11)))*60)</f>
        <v>44.3670013574678</v>
      </c>
      <c r="J42" s="39" t="n">
        <f aca="false">100*(1+COS($A$4*AQ42))/2</f>
        <v>81.8519867629538</v>
      </c>
      <c r="K42" s="48" t="n">
        <f aca="false">IF(AI42&gt;180,AT42-180,AT42+180)</f>
        <v>265.805609617166</v>
      </c>
      <c r="L42" s="10" t="n">
        <f aca="false">L41+1/8</f>
        <v>2459858.5</v>
      </c>
      <c r="M42" s="49" t="n">
        <f aca="false">(L42-2451545)/36525</f>
        <v>0.227611225188227</v>
      </c>
      <c r="N42" s="15" t="n">
        <f aca="false">MOD(280.46061837+360.98564736629*(L42-2451545)+0.000387933*M42^2-M42^3/38710000+$G$4,360)</f>
        <v>14.6400181190111</v>
      </c>
      <c r="O42" s="18" t="n">
        <f aca="false">0.60643382+1336.85522467*M42 - 0.00000313*M42^2 - INT(0.60643382+1336.85522467*M42 - 0.00000313*M42^2)</f>
        <v>0.889689244265981</v>
      </c>
      <c r="P42" s="15" t="n">
        <f aca="false">22640*SIN(Q42)-4586*SIN(Q42-2*S42)+2370*SIN(2*S42)+769*SIN(2*Q42)-668*SIN(R42)-412*SIN(2*T42)-212*SIN(2*Q42-2*S42)-206*SIN(Q42+R42-2*S42)+192*SIN(Q42+2*S42)-165*SIN(R42-2*S42)-125*SIN(S42)-110*SIN(Q42+R42)+148*SIN(Q42-R42)-55*SIN(2*T42-2*S42)</f>
        <v>7514.0285801296</v>
      </c>
      <c r="Q42" s="18" t="n">
        <f aca="false">2*PI()*(0.374897+1325.55241*M42 - INT(0.374897+1325.55241*M42))</f>
        <v>0.537244333391148</v>
      </c>
      <c r="R42" s="26" t="n">
        <f aca="false">2*PI()*(0.99312619+99.99735956*M42 - 0.00000044*M42^2 - INT(0.99312619+99.99735956*M42- 0.00000044*M42^2))</f>
        <v>4.73530810669901</v>
      </c>
      <c r="S42" s="26" t="n">
        <f aca="false">2*PI()*(0.827361+1236.853086*M42 - INT(0.827361+1236.853086*M42))</f>
        <v>2.19287742824475</v>
      </c>
      <c r="T42" s="26" t="n">
        <f aca="false">2*PI()*(0.259086+1342.227825*M42 - INT(0.259086+1342.227825*M42))</f>
        <v>4.80792939957664</v>
      </c>
      <c r="U42" s="26" t="n">
        <f aca="false">T42+(P42+412*SIN(2*T42)+541*SIN(R42))/206264.8062</f>
        <v>4.84135693227063</v>
      </c>
      <c r="V42" s="26" t="n">
        <f aca="false">T42-2*S42</f>
        <v>0.422174543087145</v>
      </c>
      <c r="W42" s="25" t="n">
        <f aca="false">-526*SIN(V42)+44*SIN(Q42+V42)-31*SIN(-Q42+V42)-23*SIN(R42+V42)+11*SIN(-R42+V42)-25*SIN(-2*Q42+T42)+21*SIN(-Q42+T42)</f>
        <v>-150.079983398651</v>
      </c>
      <c r="X42" s="26" t="n">
        <f aca="false">2*PI()*(O42+P42/1296000-INT(O42+P42/1296000))</f>
        <v>5.62651142608667</v>
      </c>
      <c r="Y42" s="26" t="n">
        <f aca="false">(18520*SIN(U42)+W42)/206264.8062</f>
        <v>-0.0897694307724034</v>
      </c>
      <c r="Z42" s="26" t="n">
        <f aca="false">Y42*180/PI()</f>
        <v>-5.14340951255053</v>
      </c>
      <c r="AA42" s="26" t="n">
        <f aca="false">COS(Y42)*COS(X42)</f>
        <v>0.788838004449722</v>
      </c>
      <c r="AB42" s="26" t="n">
        <f aca="false">COS(Y42)*SIN(X42)</f>
        <v>-0.60802769306634</v>
      </c>
      <c r="AC42" s="26" t="n">
        <f aca="false">SIN(Y42)</f>
        <v>-0.0896489107586031</v>
      </c>
      <c r="AD42" s="26" t="n">
        <f aca="false">COS($A$4*(23.4393-46.815*M42/3600))*AB42-SIN($A$4*(23.4393-46.815*M42/3600))*AC42</f>
        <v>-0.522210905432009</v>
      </c>
      <c r="AE42" s="26" t="n">
        <f aca="false">SIN($A$4*(23.4393-46.815*M42/3600))*AB42+COS($A$4*(23.4393-46.815*M42/3600))*AC42</f>
        <v>-0.324083898062926</v>
      </c>
      <c r="AF42" s="26" t="n">
        <f aca="false">SQRT(1-AE42*AE42)</f>
        <v>0.946028343664363</v>
      </c>
      <c r="AG42" s="10" t="n">
        <f aca="false">ATAN(AE42/AF42)/$A$4</f>
        <v>-18.9100824739956</v>
      </c>
      <c r="AH42" s="26" t="n">
        <f aca="false">IF(24*ATAN(AD42/(AA42+AF42))/PI()&gt;0,24*ATAN(AD42/(AA42+AF42))/PI(),24*ATAN(AD42/(AA42+AF42))/PI()+24)</f>
        <v>21.7663622284935</v>
      </c>
      <c r="AI42" s="10" t="n">
        <f aca="false">IF(N42-15*AH42&gt;0,N42-15*AH42,360+N42-15*AH42)</f>
        <v>48.1445846916093</v>
      </c>
      <c r="AJ42" s="18" t="n">
        <f aca="false">0.950724+0.051818*COS(Q42)+0.009531*COS(2*S42-Q42)+0.007843*COS(2*S42)+0.002824*COS(2*Q42)+0.000857*COS(2*S42+Q42)+0.000533*COS(2*S42-R42)+0.000401*COS(2*S42-R42-Q42)+0.00032*COS(Q42-R42)-0.000271*COS(S42)</f>
        <v>0.987757006382378</v>
      </c>
      <c r="AK42" s="50" t="n">
        <f aca="false">ASIN(COS($A$4*$G$2)*COS($A$4*AG42)*COS($A$4*AI42)+SIN($A$4*$G$2)*SIN($A$4*AG42))/$A$4</f>
        <v>45.0472385046651</v>
      </c>
      <c r="AL42" s="18" t="n">
        <f aca="false">ASIN((0.9983271+0.0016764*COS($A$4*2*$G$2))*COS($A$4*AK42)*SIN($A$4*AJ42))/$A$4</f>
        <v>0.697501487381375</v>
      </c>
      <c r="AM42" s="18" t="n">
        <f aca="false">AK42-AL42</f>
        <v>44.3497370172837</v>
      </c>
      <c r="AN42" s="10" t="n">
        <f aca="false"> IF(280.4664567 + 360007.6982779*M42/10 + 0.03032028*M42^2/100 + M42^3/49931000&lt;0,MOD(280.4664567 + 360007.6982779*M42/10 + 0.03032028*M42^2/100 + M42^3/49931000+360,360),MOD(280.4664567 + 360007.6982779*M42/10 + 0.03032028*M42^2/100 + M42^3/49931000,360))</f>
        <v>194.645800630871</v>
      </c>
      <c r="AO42" s="27" t="n">
        <f aca="false"> AN42 + (1.9146 - 0.004817*M42 - 0.000014*M42^2)*SIN(R42)+ (0.019993 - 0.000101*M42)*SIN(2*R42)+ 0.00029*SIN(3*R42)</f>
        <v>192.732174550788</v>
      </c>
      <c r="AP42" s="18" t="n">
        <f aca="false">ACOS(COS(X42-$A$4*AO42)*COS(Y42))/$A$4</f>
        <v>129.452297413479</v>
      </c>
      <c r="AQ42" s="25" t="n">
        <f aca="false">180 - AP42 -0.1468*(1-0.0549*SIN(R42))*SIN($A$4*AP42)/(1-0.0167*SIN($A$4*AO42))</f>
        <v>50.4285674801968</v>
      </c>
      <c r="AR42" s="25" t="n">
        <f aca="false">SIN($A$4*AI42)</f>
        <v>0.744830994511138</v>
      </c>
      <c r="AS42" s="25" t="n">
        <f aca="false">COS($A$4*AI42)*SIN($A$4*$G$2) - TAN($A$4*AG42)*COS($A$4*$G$2)</f>
        <v>0.0546236527876203</v>
      </c>
      <c r="AT42" s="25" t="n">
        <f aca="false">IF(OR(AND(AR42*AS42&gt;0), AND(AR42&lt;0,AS42&gt;0)), MOD(ATAN2(AS42,AR42)/$A$4+360,360),  ATAN2(AS42,AR42)/$A$4)</f>
        <v>85.8056096171659</v>
      </c>
      <c r="AU42" s="29" t="n">
        <f aca="false">(1+SIN($A$4*H42)*SIN($A$4*AJ42))*120*ASIN(0.272481*SIN($A$4*AJ42))/$A$4</f>
        <v>32.6851035531596</v>
      </c>
      <c r="AV42" s="10" t="n">
        <f aca="false">COS(X42)</f>
        <v>0.792027157426356</v>
      </c>
      <c r="AW42" s="10" t="n">
        <f aca="false">SIN(X42)</f>
        <v>-0.610485857247427</v>
      </c>
      <c r="AX42" s="30" t="n">
        <f aca="false"> 385000.56 + (-20905355*COS(Q42) - 3699111*COS(2*S42-Q42) - 2955968*COS(2*S42) - 569925*COS(2*Q42) + (1-0.002516*M42)*48888*COS(R42) - 3149*COS(2*T42)  +246158*COS(2*S42-2*Q42) -(1-0.002516*M42)*152138*COS(2*S42-R42-Q42) -170733*COS(2*S42+Q42) -(1-0.002516*M42)*204586*COS(2*S42-R42) -(1-0.002516*M42)*129620*COS(R42-Q42)  + 108743*COS(S42) +(1-0.002516*M42)*104755*COS(R42+Q42) +10321*COS(2*S42-2*T42) +79661*COS(Q42-2*T42) -34782*COS(4*S42-Q42) -23210*COS(3*Q42)  -21636*COS(4*S42-2*Q42) +(1-0.002516*M42)*24208*COS(2*S42+R42-Q42) +(1-0.002516*M42)*30824*COS(2*S42+R42) -8379*COS(S42-Q42) -(1-0.002516*M42)*16675*COS(S42+R42)  -(1-0.002516*M42)*12831*COS(2*S42-R42+Q42) -10445*COS(2*S42+2*Q42) -11650*COS(4*S42) +14403*COS(2*S42-3*Q42) -(1-0.002516*M42)*7003*COS(R42-2*Q42)  + (1-0.002516*M42)*10056*COS(2*S42-R42-2*Q42) +6322*COS(S42+Q42) -(1-0.002516*M42)*(1-0.002516*M42)*9884*COS(2*S42-2*R42) +(1-0.002516*M42)*5751*COS(R42+2*Q42) -(1-0.002516*M42)*(1-0.002516*M42)*4950*COS(2*S42-2*R42-Q42)  +4130*COS(2*S42+Q42-2*T42) -(1-0.002516*M42)*3958*COS(4*S42-R42-Q42) +3258*COS(3*S42-Q42) +(1-0.002516*M42)*2616*COS(2*S42+R42+Q42) -(1-0.002516*M42)*1897*COS(4*S42-R42-2*Q42)  -(1-0.002516*M42)*(1-0.002516*M42)*2117*COS(2*R42-Q42) +(1-0.002516*M42)*(1-0.002516*M42)*2354*COS(2*S42+2*R42-Q42) -1423*COS(4*S42+Q42) -1117*COS(4*Q42) -(1-0.002516*M42)*1571*COS(4*S42-R42)  -1739*COS(S42-2*Q42) -4421*COS(2*Q42-2*T42) +(1-0.002516*M42)*(1-0.002516*M42)*1165*COS(2*R42+Q42) +8752*COS(2*S42-Q42-2*T42))/1000</f>
        <v>369903.123168786</v>
      </c>
      <c r="AY42" s="10" t="n">
        <f aca="false">AY41+1/8</f>
        <v>6</v>
      </c>
      <c r="AZ42" s="17" t="n">
        <f aca="false">AZ41+1</f>
        <v>41</v>
      </c>
      <c r="BA42" s="32" t="n">
        <f aca="false">ATAN(0.99664719*TAN($A$4*input!$E$2))</f>
        <v>-0.400219206115995</v>
      </c>
      <c r="BB42" s="32" t="n">
        <f aca="false">COS(BA42)</f>
        <v>0.920975608992155</v>
      </c>
      <c r="BC42" s="32" t="n">
        <f aca="false">0.99664719*SIN(BA42)</f>
        <v>-0.388313912533463</v>
      </c>
      <c r="BD42" s="32" t="n">
        <f aca="false">6378.14/AX42</f>
        <v>0.0172427308679134</v>
      </c>
      <c r="BE42" s="33" t="n">
        <f aca="false">MOD(N42-15*AH42,360)</f>
        <v>48.1445846916093</v>
      </c>
      <c r="BF42" s="27" t="n">
        <f aca="false">COS($A$4*AG42)*SIN($A$4*BE42)</f>
        <v>0.704631232047252</v>
      </c>
      <c r="BG42" s="27" t="n">
        <f aca="false">COS($A$4*AG42)*COS($A$4*BE42)-BB42*BD42</f>
        <v>0.61536027434748</v>
      </c>
      <c r="BH42" s="27" t="n">
        <f aca="false">SIN($A$4*AG42)-BC42*BD42</f>
        <v>-0.317388305776845</v>
      </c>
      <c r="BI42" s="46" t="n">
        <f aca="false">SQRT(BF42^2+BG42^2+BH42^2)</f>
        <v>0.987880952881131</v>
      </c>
      <c r="BJ42" s="35" t="n">
        <f aca="false">AX42*BI42</f>
        <v>365420.249789687</v>
      </c>
    </row>
    <row r="43" customFormat="false" ht="15" hidden="false" customHeight="false" outlineLevel="0" collapsed="false">
      <c r="A43" s="0"/>
      <c r="B43" s="20"/>
      <c r="C43" s="15" t="n">
        <f aca="false">MOD(C42+3,24)</f>
        <v>3</v>
      </c>
      <c r="D43" s="17" t="n">
        <v>6</v>
      </c>
      <c r="E43" s="102" t="n">
        <f aca="false">input!$C$2</f>
        <v>10</v>
      </c>
      <c r="F43" s="102" t="n">
        <f aca="false">input!$D$2</f>
        <v>2022</v>
      </c>
      <c r="G43" s="0"/>
      <c r="H43" s="39" t="n">
        <f aca="false">AM43</f>
        <v>4.72916588473151</v>
      </c>
      <c r="I43" s="48" t="n">
        <f aca="false">H43+1.02/(TAN($A$4*(H43+10.3/(H43+5.11)))*60)</f>
        <v>4.89722786363136</v>
      </c>
      <c r="J43" s="39" t="n">
        <f aca="false">100*(1+COS($A$4*AQ43))/2</f>
        <v>82.9458894938906</v>
      </c>
      <c r="K43" s="48" t="n">
        <f aca="false">IF(AI43&gt;180,AT43-180,AT43+180)</f>
        <v>252.53366308931</v>
      </c>
      <c r="L43" s="10" t="n">
        <f aca="false">L42+1/8</f>
        <v>2459858.625</v>
      </c>
      <c r="M43" s="49" t="n">
        <f aca="false">(L43-2451545)/36525</f>
        <v>0.227614647501711</v>
      </c>
      <c r="N43" s="15" t="n">
        <f aca="false">MOD(280.46061837+360.98564736629*(L43-2451545)+0.000387933*M43^2-M43^3/38710000+$G$4,360)</f>
        <v>59.7632240406238</v>
      </c>
      <c r="O43" s="18" t="n">
        <f aca="false">0.60643382+1336.85522467*M43 - 0.00000313*M43^2 - INT(0.60643382+1336.85522467*M43 - 0.00000313*M43^2)</f>
        <v>0.89426438192254</v>
      </c>
      <c r="P43" s="15" t="n">
        <f aca="false">22640*SIN(Q43)-4586*SIN(Q43-2*S43)+2370*SIN(2*S43)+769*SIN(2*Q43)-668*SIN(R43)-412*SIN(2*T43)-212*SIN(2*Q43-2*S43)-206*SIN(Q43+R43-2*S43)+192*SIN(Q43+2*S43)-165*SIN(R43-2*S43)-125*SIN(S43)-110*SIN(Q43+R43)+148*SIN(Q43-R43)-55*SIN(2*T43-2*S43)</f>
        <v>7997.8673440374</v>
      </c>
      <c r="Q43" s="18" t="n">
        <f aca="false">2*PI()*(0.374897+1325.55241*M43 - INT(0.374897+1325.55241*M43))</f>
        <v>0.565747726362947</v>
      </c>
      <c r="R43" s="26" t="n">
        <f aca="false">2*PI()*(0.99312619+99.99735956*M43 - 0.00000044*M43^2 - INT(0.99312619+99.99735956*M43- 0.00000044*M43^2))</f>
        <v>4.73745835289709</v>
      </c>
      <c r="S43" s="26" t="n">
        <f aca="false">2*PI()*(0.827361+1236.853086*M43 - INT(0.827361+1236.853086*M43))</f>
        <v>2.21947351700967</v>
      </c>
      <c r="T43" s="26" t="n">
        <f aca="false">2*PI()*(0.259086+1342.227825*M43 - INT(0.259086+1342.227825*M43))</f>
        <v>4.8367913644944</v>
      </c>
      <c r="U43" s="26" t="n">
        <f aca="false">T43+(P43+412*SIN(2*T43)+541*SIN(R43))/206264.8062</f>
        <v>4.87245224257175</v>
      </c>
      <c r="V43" s="26" t="n">
        <f aca="false">T43-2*S43</f>
        <v>0.39784433047506</v>
      </c>
      <c r="W43" s="25" t="n">
        <f aca="false">-526*SIN(V43)+44*SIN(Q43+V43)-31*SIN(-Q43+V43)-23*SIN(R43+V43)+11*SIN(-R43+V43)-25*SIN(-2*Q43+T43)+21*SIN(-Q43+T43)</f>
        <v>-136.885350006119</v>
      </c>
      <c r="X43" s="26" t="n">
        <f aca="false">2*PI()*(O43+P43/1296000-INT(O43+P43/1296000))</f>
        <v>5.65760358031062</v>
      </c>
      <c r="Y43" s="26" t="n">
        <f aca="false">(18520*SIN(U43)+W43)/206264.8062</f>
        <v>-0.0893033973229693</v>
      </c>
      <c r="Z43" s="26" t="n">
        <f aca="false">Y43*180/PI()</f>
        <v>-5.11670776278603</v>
      </c>
      <c r="AA43" s="26" t="n">
        <f aca="false">COS(Y43)*COS(X43)</f>
        <v>0.807392366251839</v>
      </c>
      <c r="AB43" s="26" t="n">
        <f aca="false">COS(Y43)*SIN(X43)</f>
        <v>-0.583235499894176</v>
      </c>
      <c r="AC43" s="26" t="n">
        <f aca="false">SIN(Y43)</f>
        <v>-0.0891847441070894</v>
      </c>
      <c r="AD43" s="26" t="n">
        <f aca="false">COS($A$4*(23.4393-46.815*M43/3600))*AB43-SIN($A$4*(23.4393-46.815*M43/3600))*AC43</f>
        <v>-0.499648618219319</v>
      </c>
      <c r="AE43" s="26" t="n">
        <f aca="false">SIN($A$4*(23.4393-46.815*M43/3600))*AB43+COS($A$4*(23.4393-46.815*M43/3600))*AC43</f>
        <v>-0.313797427060487</v>
      </c>
      <c r="AF43" s="26" t="n">
        <f aca="false">SQRT(1-AE43*AE43)</f>
        <v>0.949489955065465</v>
      </c>
      <c r="AG43" s="10" t="n">
        <f aca="false">ATAN(AE43/AF43)/$A$4</f>
        <v>-18.2882308258518</v>
      </c>
      <c r="AH43" s="26" t="n">
        <f aca="false">IF(24*ATAN(AD43/(AA43+AF43))/PI()&gt;0,24*ATAN(AD43/(AA43+AF43))/PI(),24*ATAN(AD43/(AA43+AF43))/PI()+24)</f>
        <v>21.8832681248898</v>
      </c>
      <c r="AI43" s="10" t="n">
        <f aca="false">IF(N43-15*AH43&gt;0,N43-15*AH43,360+N43-15*AH43)</f>
        <v>91.5142021672762</v>
      </c>
      <c r="AJ43" s="18" t="n">
        <f aca="false">0.950724+0.051818*COS(Q43)+0.009531*COS(2*S43-Q43)+0.007843*COS(2*S43)+0.002824*COS(2*Q43)+0.000857*COS(2*S43+Q43)+0.000533*COS(2*S43-R43)+0.000401*COS(2*S43-R43-Q43)+0.00032*COS(Q43-R43)-0.000271*COS(S43)</f>
        <v>0.987474908915216</v>
      </c>
      <c r="AK43" s="50" t="n">
        <f aca="false">ASIN(COS($A$4*$G$2)*COS($A$4*AG43)*COS($A$4*AI43)+SIN($A$4*$G$2)*SIN($A$4*AG43))/$A$4</f>
        <v>5.71123899004716</v>
      </c>
      <c r="AL43" s="18" t="n">
        <f aca="false">ASIN((0.9983271+0.0016764*COS($A$4*2*$G$2))*COS($A$4*AK43)*SIN($A$4*AJ43))/$A$4</f>
        <v>0.982073105315651</v>
      </c>
      <c r="AM43" s="18" t="n">
        <f aca="false">AK43-AL43</f>
        <v>4.72916588473151</v>
      </c>
      <c r="AN43" s="10" t="n">
        <f aca="false"> IF(280.4664567 + 360007.6982779*M43/10 + 0.03032028*M43^2/100 + M43^3/49931000&lt;0,MOD(280.4664567 + 360007.6982779*M43/10 + 0.03032028*M43^2/100 + M43^3/49931000+360,360),MOD(280.4664567 + 360007.6982779*M43/10 + 0.03032028*M43^2/100 + M43^3/49931000,360))</f>
        <v>194.769006551354</v>
      </c>
      <c r="AO43" s="27" t="n">
        <f aca="false"> AN43 + (1.9146 - 0.004817*M43 - 0.000014*M43^2)*SIN(R43)+ (0.019993 - 0.000101*M43)*SIN(2*R43)+ 0.00029*SIN(3*R43)</f>
        <v>192.855393286203</v>
      </c>
      <c r="AP43" s="18" t="n">
        <f aca="false">ACOS(COS(X43-$A$4*AO43)*COS(Y43))/$A$4</f>
        <v>131.101129012006</v>
      </c>
      <c r="AQ43" s="25" t="n">
        <f aca="false">180 - AP43 -0.1468*(1-0.0549*SIN(R43))*SIN($A$4*AP43)/(1-0.0167*SIN($A$4*AO43))</f>
        <v>48.7826105652895</v>
      </c>
      <c r="AR43" s="25" t="n">
        <f aca="false">SIN($A$4*AI43)</f>
        <v>0.999650805665183</v>
      </c>
      <c r="AS43" s="25" t="n">
        <f aca="false">COS($A$4*AI43)*SIN($A$4*$G$2) - TAN($A$4*AG43)*COS($A$4*$G$2)</f>
        <v>0.314543093177862</v>
      </c>
      <c r="AT43" s="25" t="n">
        <f aca="false">IF(OR(AND(AR43*AS43&gt;0), AND(AR43&lt;0,AS43&gt;0)), MOD(ATAN2(AS43,AR43)/$A$4+360,360),  ATAN2(AS43,AR43)/$A$4)</f>
        <v>72.5336630893099</v>
      </c>
      <c r="AU43" s="29" t="n">
        <f aca="false">(1+SIN($A$4*H43)*SIN($A$4*AJ43))*120*ASIN(0.272481*SIN($A$4*AJ43))/$A$4</f>
        <v>32.3325731211048</v>
      </c>
      <c r="AV43" s="10" t="n">
        <f aca="false">COS(X43)</f>
        <v>0.810622615502337</v>
      </c>
      <c r="AW43" s="10" t="n">
        <f aca="false">SIN(X43)</f>
        <v>-0.585568932949957</v>
      </c>
      <c r="AX43" s="30" t="n">
        <f aca="false"> 385000.56 + (-20905355*COS(Q43) - 3699111*COS(2*S43-Q43) - 2955968*COS(2*S43) - 569925*COS(2*Q43) + (1-0.002516*M43)*48888*COS(R43) - 3149*COS(2*T43)  +246158*COS(2*S43-2*Q43) -(1-0.002516*M43)*152138*COS(2*S43-R43-Q43) -170733*COS(2*S43+Q43) -(1-0.002516*M43)*204586*COS(2*S43-R43) -(1-0.002516*M43)*129620*COS(R43-Q43)  + 108743*COS(S43) +(1-0.002516*M43)*104755*COS(R43+Q43) +10321*COS(2*S43-2*T43) +79661*COS(Q43-2*T43) -34782*COS(4*S43-Q43) -23210*COS(3*Q43)  -21636*COS(4*S43-2*Q43) +(1-0.002516*M43)*24208*COS(2*S43+R43-Q43) +(1-0.002516*M43)*30824*COS(2*S43+R43) -8379*COS(S43-Q43) -(1-0.002516*M43)*16675*COS(S43+R43)  -(1-0.002516*M43)*12831*COS(2*S43-R43+Q43) -10445*COS(2*S43+2*Q43) -11650*COS(4*S43) +14403*COS(2*S43-3*Q43) -(1-0.002516*M43)*7003*COS(R43-2*Q43)  + (1-0.002516*M43)*10056*COS(2*S43-R43-2*Q43) +6322*COS(S43+Q43) -(1-0.002516*M43)*(1-0.002516*M43)*9884*COS(2*S43-2*R43) +(1-0.002516*M43)*5751*COS(R43+2*Q43) -(1-0.002516*M43)*(1-0.002516*M43)*4950*COS(2*S43-2*R43-Q43)  +4130*COS(2*S43+Q43-2*T43) -(1-0.002516*M43)*3958*COS(4*S43-R43-Q43) +3258*COS(3*S43-Q43) +(1-0.002516*M43)*2616*COS(2*S43+R43+Q43) -(1-0.002516*M43)*1897*COS(4*S43-R43-2*Q43)  -(1-0.002516*M43)*(1-0.002516*M43)*2117*COS(2*R43-Q43) +(1-0.002516*M43)*(1-0.002516*M43)*2354*COS(2*S43+2*R43-Q43) -1423*COS(4*S43+Q43) -1117*COS(4*Q43) -(1-0.002516*M43)*1571*COS(4*S43-R43)  -1739*COS(S43-2*Q43) -4421*COS(2*Q43-2*T43) +(1-0.002516*M43)*(1-0.002516*M43)*1165*COS(2*R43+Q43) +8752*COS(2*S43-Q43-2*T43))/1000</f>
        <v>370022.729947613</v>
      </c>
      <c r="AY43" s="10" t="n">
        <f aca="false">AY42+1/8</f>
        <v>6.125</v>
      </c>
      <c r="AZ43" s="17" t="n">
        <f aca="false">AZ42+1</f>
        <v>42</v>
      </c>
      <c r="BA43" s="32" t="n">
        <f aca="false">ATAN(0.99664719*TAN($A$4*input!$E$2))</f>
        <v>-0.400219206115995</v>
      </c>
      <c r="BB43" s="32" t="n">
        <f aca="false">COS(BA43)</f>
        <v>0.920975608992155</v>
      </c>
      <c r="BC43" s="32" t="n">
        <f aca="false">0.99664719*SIN(BA43)</f>
        <v>-0.388313912533463</v>
      </c>
      <c r="BD43" s="32" t="n">
        <f aca="false">6378.14/AX43</f>
        <v>0.0172371572981557</v>
      </c>
      <c r="BE43" s="33" t="n">
        <f aca="false">MOD(N43-15*AH43,360)</f>
        <v>91.5142021672762</v>
      </c>
      <c r="BF43" s="27" t="n">
        <f aca="false">COS($A$4*AG43)*SIN($A$4*BE43)</f>
        <v>0.94915839855219</v>
      </c>
      <c r="BG43" s="27" t="n">
        <f aca="false">COS($A$4*AG43)*COS($A$4*BE43)-BB43*BD43</f>
        <v>-0.0409650239202235</v>
      </c>
      <c r="BH43" s="27" t="n">
        <f aca="false">SIN($A$4*AG43)-BC43*BD43</f>
        <v>-0.307103999069086</v>
      </c>
      <c r="BI43" s="46" t="n">
        <f aca="false">SQRT(BF43^2+BG43^2+BH43^2)</f>
        <v>0.998445123665376</v>
      </c>
      <c r="BJ43" s="35" t="n">
        <f aca="false">AX43*BI43</f>
        <v>369447.390361544</v>
      </c>
    </row>
    <row r="44" customFormat="false" ht="15" hidden="false" customHeight="false" outlineLevel="0" collapsed="false">
      <c r="A44" s="0"/>
      <c r="B44" s="20"/>
      <c r="C44" s="15" t="n">
        <f aca="false">MOD(C43+3,24)</f>
        <v>6</v>
      </c>
      <c r="D44" s="17" t="n">
        <v>6</v>
      </c>
      <c r="E44" s="102" t="n">
        <f aca="false">input!$C$2</f>
        <v>10</v>
      </c>
      <c r="F44" s="102" t="n">
        <f aca="false">input!$D$2</f>
        <v>2022</v>
      </c>
      <c r="G44" s="0"/>
      <c r="H44" s="39" t="n">
        <f aca="false">AM44</f>
        <v>-30.8979636293309</v>
      </c>
      <c r="I44" s="48" t="n">
        <f aca="false">H44+1.02/(TAN($A$4*(H44+10.3/(H44+5.11)))*60)</f>
        <v>-30.9259266035598</v>
      </c>
      <c r="J44" s="39" t="n">
        <f aca="false">100*(1+COS($A$4*AQ44))/2</f>
        <v>84.0120746154377</v>
      </c>
      <c r="K44" s="48" t="n">
        <f aca="false">IF(AI44&gt;180,AT44-180,AT44+180)</f>
        <v>231.242170612788</v>
      </c>
      <c r="L44" s="10" t="n">
        <f aca="false">L43+1/8</f>
        <v>2459858.75</v>
      </c>
      <c r="M44" s="49" t="n">
        <f aca="false">(L44-2451545)/36525</f>
        <v>0.227618069815195</v>
      </c>
      <c r="N44" s="15" t="n">
        <f aca="false">MOD(280.46061837+360.98564736629*(L44-2451545)+0.000387933*M44^2-M44^3/38710000+$G$4,360)</f>
        <v>104.886429961771</v>
      </c>
      <c r="O44" s="18" t="n">
        <f aca="false">0.60643382+1336.85522467*M44 - 0.00000313*M44^2 - INT(0.60643382+1336.85522467*M44 - 0.00000313*M44^2)</f>
        <v>0.898839519579155</v>
      </c>
      <c r="P44" s="15" t="n">
        <f aca="false">22640*SIN(Q44)-4586*SIN(Q44-2*S44)+2370*SIN(2*S44)+769*SIN(2*Q44)-668*SIN(R44)-412*SIN(2*T44)-212*SIN(2*Q44-2*S44)-206*SIN(Q44+R44-2*S44)+192*SIN(Q44+2*S44)-165*SIN(R44-2*S44)-125*SIN(S44)-110*SIN(Q44+R44)+148*SIN(Q44-R44)-55*SIN(2*T44-2*S44)</f>
        <v>8478.89549271079</v>
      </c>
      <c r="Q44" s="18" t="n">
        <f aca="false">2*PI()*(0.374897+1325.55241*M44 - INT(0.374897+1325.55241*M44))</f>
        <v>0.594251119335103</v>
      </c>
      <c r="R44" s="26" t="n">
        <f aca="false">2*PI()*(0.99312619+99.99735956*M44 - 0.00000044*M44^2 - INT(0.99312619+99.99735956*M44- 0.00000044*M44^2))</f>
        <v>4.73960859909522</v>
      </c>
      <c r="S44" s="26" t="n">
        <f aca="false">2*PI()*(0.827361+1236.853086*M44 - INT(0.827361+1236.853086*M44))</f>
        <v>2.24606960577459</v>
      </c>
      <c r="T44" s="26" t="n">
        <f aca="false">2*PI()*(0.259086+1342.227825*M44 - INT(0.259086+1342.227825*M44))</f>
        <v>4.86565332941216</v>
      </c>
      <c r="U44" s="26" t="n">
        <f aca="false">T44+(P44+412*SIN(2*T44)+541*SIN(R44))/206264.8062</f>
        <v>4.90353557719401</v>
      </c>
      <c r="V44" s="26" t="n">
        <f aca="false">T44-2*S44</f>
        <v>0.373514117862974</v>
      </c>
      <c r="W44" s="25" t="n">
        <f aca="false">-526*SIN(V44)+44*SIN(Q44+V44)-31*SIN(-Q44+V44)-23*SIN(R44+V44)+11*SIN(-R44+V44)-25*SIN(-2*Q44+T44)+21*SIN(-Q44+T44)</f>
        <v>-123.613253544696</v>
      </c>
      <c r="X44" s="26" t="n">
        <f aca="false">2*PI()*(O44+P44/1296000-INT(O44+P44/1296000))</f>
        <v>5.68868210828775</v>
      </c>
      <c r="Y44" s="26" t="n">
        <f aca="false">(18520*SIN(U44)+W44)/206264.8062</f>
        <v>-0.0887514921117073</v>
      </c>
      <c r="Z44" s="26" t="n">
        <f aca="false">Y44*180/PI()</f>
        <v>-5.08508592348944</v>
      </c>
      <c r="AA44" s="26" t="n">
        <f aca="false">COS(Y44)*COS(X44)</f>
        <v>0.825166311406541</v>
      </c>
      <c r="AB44" s="26" t="n">
        <f aca="false">COS(Y44)*SIN(X44)</f>
        <v>-0.557892813118268</v>
      </c>
      <c r="AC44" s="26" t="n">
        <f aca="false">SIN(Y44)</f>
        <v>-0.0886350246274511</v>
      </c>
      <c r="AD44" s="26" t="n">
        <f aca="false">COS($A$4*(23.4393-46.815*M44/3600))*AB44-SIN($A$4*(23.4393-46.815*M44/3600))*AC44</f>
        <v>-0.476615278623781</v>
      </c>
      <c r="AE44" s="26" t="n">
        <f aca="false">SIN($A$4*(23.4393-46.815*M44/3600))*AB44+COS($A$4*(23.4393-46.815*M44/3600))*AC44</f>
        <v>-0.303213513389656</v>
      </c>
      <c r="AF44" s="26" t="n">
        <f aca="false">SQRT(1-AE44*AE44)</f>
        <v>0.952922643921269</v>
      </c>
      <c r="AG44" s="10" t="n">
        <f aca="false">ATAN(AE44/AF44)/$A$4</f>
        <v>-17.6507168312349</v>
      </c>
      <c r="AH44" s="26" t="n">
        <f aca="false">IF(24*ATAN(AD44/(AA44+AF44))/PI()&gt;0,24*ATAN(AD44/(AA44+AF44))/PI(),24*ATAN(AD44/(AA44+AF44))/PI()+24)</f>
        <v>21.9992873685624</v>
      </c>
      <c r="AI44" s="10" t="n">
        <f aca="false">IF(N44-15*AH44&gt;0,N44-15*AH44,360+N44-15*AH44)</f>
        <v>134.897119433335</v>
      </c>
      <c r="AJ44" s="18" t="n">
        <f aca="false">0.950724+0.051818*COS(Q44)+0.009531*COS(2*S44-Q44)+0.007843*COS(2*S44)+0.002824*COS(2*Q44)+0.000857*COS(2*S44+Q44)+0.000533*COS(2*S44-R44)+0.000401*COS(2*S44-R44-Q44)+0.00032*COS(Q44-R44)-0.000271*COS(S44)</f>
        <v>0.987160578062777</v>
      </c>
      <c r="AK44" s="50" t="n">
        <f aca="false">ASIN(COS($A$4*$G$2)*COS($A$4*AG44)*COS($A$4*AI44)+SIN($A$4*$G$2)*SIN($A$4*AG44))/$A$4</f>
        <v>-30.0438808028056</v>
      </c>
      <c r="AL44" s="18" t="n">
        <f aca="false">ASIN((0.9983271+0.0016764*COS($A$4*2*$G$2))*COS($A$4*AK44)*SIN($A$4*AJ44))/$A$4</f>
        <v>0.854082826525257</v>
      </c>
      <c r="AM44" s="18" t="n">
        <f aca="false">AK44-AL44</f>
        <v>-30.8979636293309</v>
      </c>
      <c r="AN44" s="10" t="n">
        <f aca="false"> IF(280.4664567 + 360007.6982779*M44/10 + 0.03032028*M44^2/100 + M44^3/49931000&lt;0,MOD(280.4664567 + 360007.6982779*M44/10 + 0.03032028*M44^2/100 + M44^3/49931000+360,360),MOD(280.4664567 + 360007.6982779*M44/10 + 0.03032028*M44^2/100 + M44^3/49931000,360))</f>
        <v>194.892212471841</v>
      </c>
      <c r="AO44" s="27" t="n">
        <f aca="false"> AN44 + (1.9146 - 0.004817*M44 - 0.000014*M44^2)*SIN(R44)+ (0.019993 - 0.000101*M44)*SIN(2*R44)+ 0.00029*SIN(3*R44)</f>
        <v>192.978620872508</v>
      </c>
      <c r="AP44" s="18" t="n">
        <f aca="false">ACOS(COS(X44-$A$4*AO44)*COS(Y44))/$A$4</f>
        <v>132.749225985653</v>
      </c>
      <c r="AQ44" s="25" t="n">
        <f aca="false">180 - AP44 -0.1468*(1-0.0549*SIN(R44))*SIN($A$4*AP44)/(1-0.0167*SIN($A$4*AO44))</f>
        <v>47.137483012559</v>
      </c>
      <c r="AR44" s="25" t="n">
        <f aca="false">SIN($A$4*AI44)</f>
        <v>0.708375324785557</v>
      </c>
      <c r="AS44" s="25" t="n">
        <f aca="false">COS($A$4*AI44)*SIN($A$4*$G$2) - TAN($A$4*AG44)*COS($A$4*$G$2)</f>
        <v>0.568690472927397</v>
      </c>
      <c r="AT44" s="25" t="n">
        <f aca="false">IF(OR(AND(AR44*AS44&gt;0), AND(AR44&lt;0,AS44&gt;0)), MOD(ATAN2(AS44,AR44)/$A$4+360,360),  ATAN2(AS44,AR44)/$A$4)</f>
        <v>51.2421706127878</v>
      </c>
      <c r="AU44" s="29" t="n">
        <f aca="false">(1+SIN($A$4*H44)*SIN($A$4*AJ44))*120*ASIN(0.272481*SIN($A$4*AJ44))/$A$4</f>
        <v>31.9908741607924</v>
      </c>
      <c r="AV44" s="10" t="n">
        <f aca="false">COS(X44)</f>
        <v>0.828426858000287</v>
      </c>
      <c r="AW44" s="10" t="n">
        <f aca="false">SIN(X44)</f>
        <v>-0.560097260253764</v>
      </c>
      <c r="AX44" s="30" t="n">
        <f aca="false"> 385000.56 + (-20905355*COS(Q44) - 3699111*COS(2*S44-Q44) - 2955968*COS(2*S44) - 569925*COS(2*Q44) + (1-0.002516*M44)*48888*COS(R44) - 3149*COS(2*T44)  +246158*COS(2*S44-2*Q44) -(1-0.002516*M44)*152138*COS(2*S44-R44-Q44) -170733*COS(2*S44+Q44) -(1-0.002516*M44)*204586*COS(2*S44-R44) -(1-0.002516*M44)*129620*COS(R44-Q44)  + 108743*COS(S44) +(1-0.002516*M44)*104755*COS(R44+Q44) +10321*COS(2*S44-2*T44) +79661*COS(Q44-2*T44) -34782*COS(4*S44-Q44) -23210*COS(3*Q44)  -21636*COS(4*S44-2*Q44) +(1-0.002516*M44)*24208*COS(2*S44+R44-Q44) +(1-0.002516*M44)*30824*COS(2*S44+R44) -8379*COS(S44-Q44) -(1-0.002516*M44)*16675*COS(S44+R44)  -(1-0.002516*M44)*12831*COS(2*S44-R44+Q44) -10445*COS(2*S44+2*Q44) -11650*COS(4*S44) +14403*COS(2*S44-3*Q44) -(1-0.002516*M44)*7003*COS(R44-2*Q44)  + (1-0.002516*M44)*10056*COS(2*S44-R44-2*Q44) +6322*COS(S44+Q44) -(1-0.002516*M44)*(1-0.002516*M44)*9884*COS(2*S44-2*R44) +(1-0.002516*M44)*5751*COS(R44+2*Q44) -(1-0.002516*M44)*(1-0.002516*M44)*4950*COS(2*S44-2*R44-Q44)  +4130*COS(2*S44+Q44-2*T44) -(1-0.002516*M44)*3958*COS(4*S44-R44-Q44) +3258*COS(3*S44-Q44) +(1-0.002516*M44)*2616*COS(2*S44+R44+Q44) -(1-0.002516*M44)*1897*COS(4*S44-R44-2*Q44)  -(1-0.002516*M44)*(1-0.002516*M44)*2117*COS(2*R44-Q44) +(1-0.002516*M44)*(1-0.002516*M44)*2354*COS(2*S44+2*R44-Q44) -1423*COS(4*S44+Q44) -1117*COS(4*Q44) -(1-0.002516*M44)*1571*COS(4*S44-R44)  -1739*COS(S44-2*Q44) -4421*COS(2*Q44-2*T44) +(1-0.002516*M44)*(1-0.002516*M44)*1165*COS(2*R44+Q44) +8752*COS(2*S44-Q44-2*T44))/1000</f>
        <v>370154.417446865</v>
      </c>
      <c r="AY44" s="10" t="n">
        <f aca="false">AY43+1/8</f>
        <v>6.25</v>
      </c>
      <c r="AZ44" s="17" t="n">
        <f aca="false">AZ43+1</f>
        <v>43</v>
      </c>
      <c r="BA44" s="32" t="n">
        <f aca="false">ATAN(0.99664719*TAN($A$4*input!$E$2))</f>
        <v>-0.400219206115995</v>
      </c>
      <c r="BB44" s="32" t="n">
        <f aca="false">COS(BA44)</f>
        <v>0.920975608992155</v>
      </c>
      <c r="BC44" s="32" t="n">
        <f aca="false">0.99664719*SIN(BA44)</f>
        <v>-0.388313912533463</v>
      </c>
      <c r="BD44" s="32" t="n">
        <f aca="false">6378.14/AX44</f>
        <v>0.0172310249435712</v>
      </c>
      <c r="BE44" s="33" t="n">
        <f aca="false">MOD(N44-15*AH44,360)</f>
        <v>134.897119433335</v>
      </c>
      <c r="BF44" s="27" t="n">
        <f aca="false">COS($A$4*AG44)*SIN($A$4*BE44)</f>
        <v>0.675026887383241</v>
      </c>
      <c r="BG44" s="27" t="n">
        <f aca="false">COS($A$4*AG44)*COS($A$4*BE44)-BB44*BD44</f>
        <v>-0.68847642071271</v>
      </c>
      <c r="BH44" s="27" t="n">
        <f aca="false">SIN($A$4*AG44)-BC44*BD44</f>
        <v>-0.296522466676856</v>
      </c>
      <c r="BI44" s="46" t="n">
        <f aca="false">SQRT(BF44^2+BG44^2+BH44^2)</f>
        <v>1.00875500187698</v>
      </c>
      <c r="BJ44" s="35" t="n">
        <f aca="false">AX44*BI44</f>
        <v>373395.120066383</v>
      </c>
    </row>
    <row r="45" customFormat="false" ht="15" hidden="false" customHeight="false" outlineLevel="0" collapsed="false">
      <c r="A45" s="0"/>
      <c r="B45" s="20"/>
      <c r="C45" s="15" t="n">
        <f aca="false">MOD(C44+3,24)</f>
        <v>9</v>
      </c>
      <c r="D45" s="17" t="n">
        <v>6</v>
      </c>
      <c r="E45" s="102" t="n">
        <f aca="false">input!$C$2</f>
        <v>10</v>
      </c>
      <c r="F45" s="102" t="n">
        <f aca="false">input!$D$2</f>
        <v>2022</v>
      </c>
      <c r="G45" s="0"/>
      <c r="H45" s="39" t="n">
        <f aca="false">AM45</f>
        <v>-50.6013072237611</v>
      </c>
      <c r="I45" s="48" t="n">
        <f aca="false">H45+1.02/(TAN($A$4*(H45+10.3/(H45+5.11)))*60)</f>
        <v>-50.6151583933003</v>
      </c>
      <c r="J45" s="39" t="n">
        <f aca="false">100*(1+COS($A$4*AQ45))/2</f>
        <v>85.0496296937271</v>
      </c>
      <c r="K45" s="48" t="n">
        <f aca="false">IF(AI45&gt;180,AT45-180,AT45+180)</f>
        <v>182.538062066204</v>
      </c>
      <c r="L45" s="10" t="n">
        <f aca="false">L44+1/8</f>
        <v>2459858.875</v>
      </c>
      <c r="M45" s="49" t="n">
        <f aca="false">(L45-2451545)/36525</f>
        <v>0.227621492128679</v>
      </c>
      <c r="N45" s="15" t="n">
        <f aca="false">MOD(280.46061837+360.98564736629*(L45-2451545)+0.000387933*M45^2-M45^3/38710000+$G$4,360)</f>
        <v>150.009635883383</v>
      </c>
      <c r="O45" s="18" t="n">
        <f aca="false">0.60643382+1336.85522467*M45 - 0.00000313*M45^2 - INT(0.60643382+1336.85522467*M45 - 0.00000313*M45^2)</f>
        <v>0.903414657235715</v>
      </c>
      <c r="P45" s="15" t="n">
        <f aca="false">22640*SIN(Q45)-4586*SIN(Q45-2*S45)+2370*SIN(2*S45)+769*SIN(2*Q45)-668*SIN(R45)-412*SIN(2*T45)-212*SIN(2*Q45-2*S45)-206*SIN(Q45+R45-2*S45)+192*SIN(Q45+2*S45)-165*SIN(R45-2*S45)-125*SIN(S45)-110*SIN(Q45+R45)+148*SIN(Q45-R45)-55*SIN(2*T45-2*S45)</f>
        <v>8956.62427790498</v>
      </c>
      <c r="Q45" s="18" t="n">
        <f aca="false">2*PI()*(0.374897+1325.55241*M45 - INT(0.374897+1325.55241*M45))</f>
        <v>0.622754512306901</v>
      </c>
      <c r="R45" s="26" t="n">
        <f aca="false">2*PI()*(0.99312619+99.99735956*M45 - 0.00000044*M45^2 - INT(0.99312619+99.99735956*M45- 0.00000044*M45^2))</f>
        <v>4.74175884529332</v>
      </c>
      <c r="S45" s="26" t="n">
        <f aca="false">2*PI()*(0.827361+1236.853086*M45 - INT(0.827361+1236.853086*M45))</f>
        <v>2.27266569453951</v>
      </c>
      <c r="T45" s="26" t="n">
        <f aca="false">2*PI()*(0.259086+1342.227825*M45 - INT(0.259086+1342.227825*M45))</f>
        <v>4.89451529432956</v>
      </c>
      <c r="U45" s="26" t="n">
        <f aca="false">T45+(P45+412*SIN(2*T45)+541*SIN(R45))/206264.8062</f>
        <v>4.9346049359334</v>
      </c>
      <c r="V45" s="26" t="n">
        <f aca="false">T45-2*S45</f>
        <v>0.349183905250531</v>
      </c>
      <c r="W45" s="25" t="n">
        <f aca="false">-526*SIN(V45)+44*SIN(Q45+V45)-31*SIN(-Q45+V45)-23*SIN(R45+V45)+11*SIN(-R45+V45)-25*SIN(-2*Q45+T45)+21*SIN(-Q45+T45)</f>
        <v>-110.274895865866</v>
      </c>
      <c r="X45" s="26" t="n">
        <f aca="false">2*PI()*(O45+P45/1296000-INT(O45+P45/1296000))</f>
        <v>5.71974464049899</v>
      </c>
      <c r="Y45" s="26" t="n">
        <f aca="false">(18520*SIN(U45)+W45)/206264.8062</f>
        <v>-0.0881143787486316</v>
      </c>
      <c r="Z45" s="26" t="n">
        <f aca="false">Y45*180/PI()</f>
        <v>-5.04858201671382</v>
      </c>
      <c r="AA45" s="26" t="n">
        <f aca="false">COS(Y45)*COS(X45)</f>
        <v>0.842142597156944</v>
      </c>
      <c r="AB45" s="26" t="n">
        <f aca="false">COS(Y45)*SIN(X45)</f>
        <v>-0.532026104150331</v>
      </c>
      <c r="AC45" s="26" t="n">
        <f aca="false">SIN(Y45)</f>
        <v>-0.0880004008875944</v>
      </c>
      <c r="AD45" s="26" t="n">
        <f aca="false">COS($A$4*(23.4393-46.815*M45/3600))*AB45-SIN($A$4*(23.4393-46.815*M45/3600))*AC45</f>
        <v>-0.453134916277584</v>
      </c>
      <c r="AE45" s="26" t="n">
        <f aca="false">SIN($A$4*(23.4393-46.815*M45/3600))*AB45+COS($A$4*(23.4393-46.815*M45/3600))*AC45</f>
        <v>-0.292343280586134</v>
      </c>
      <c r="AF45" s="26" t="n">
        <f aca="false">SQRT(1-AE45*AE45)</f>
        <v>0.956313445631785</v>
      </c>
      <c r="AG45" s="10" t="n">
        <f aca="false">ATAN(AE45/AF45)/$A$4</f>
        <v>-16.998297011853</v>
      </c>
      <c r="AH45" s="26" t="n">
        <f aca="false">IF(24*ATAN(AD45/(AA45+AF45))/PI()&gt;0,24*ATAN(AD45/(AA45+AF45))/PI(),24*ATAN(AD45/(AA45+AF45))/PI()+24)</f>
        <v>22.1144311176778</v>
      </c>
      <c r="AI45" s="10" t="n">
        <f aca="false">IF(N45-15*AH45&gt;0,N45-15*AH45,360+N45-15*AH45)</f>
        <v>178.293169118216</v>
      </c>
      <c r="AJ45" s="18" t="n">
        <f aca="false">0.950724+0.051818*COS(Q45)+0.009531*COS(2*S45-Q45)+0.007843*COS(2*S45)+0.002824*COS(2*Q45)+0.000857*COS(2*S45+Q45)+0.000533*COS(2*S45-R45)+0.000401*COS(2*S45-R45-Q45)+0.00032*COS(Q45-R45)-0.000271*COS(S45)</f>
        <v>0.986813446672794</v>
      </c>
      <c r="AK45" s="50" t="n">
        <f aca="false">ASIN(COS($A$4*$G$2)*COS($A$4*AG45)*COS($A$4*AI45)+SIN($A$4*$G$2)*SIN($A$4*AG45))/$A$4</f>
        <v>-49.9669002572343</v>
      </c>
      <c r="AL45" s="18" t="n">
        <f aca="false">ASIN((0.9983271+0.0016764*COS($A$4*2*$G$2))*COS($A$4*AK45)*SIN($A$4*AJ45))/$A$4</f>
        <v>0.6344069665268</v>
      </c>
      <c r="AM45" s="18" t="n">
        <f aca="false">AK45-AL45</f>
        <v>-50.6013072237611</v>
      </c>
      <c r="AN45" s="10" t="n">
        <f aca="false"> IF(280.4664567 + 360007.6982779*M45/10 + 0.03032028*M45^2/100 + M45^3/49931000&lt;0,MOD(280.4664567 + 360007.6982779*M45/10 + 0.03032028*M45^2/100 + M45^3/49931000+360,360),MOD(280.4664567 + 360007.6982779*M45/10 + 0.03032028*M45^2/100 + M45^3/49931000,360))</f>
        <v>195.015418392328</v>
      </c>
      <c r="AO45" s="27" t="n">
        <f aca="false"> AN45 + (1.9146 - 0.004817*M45 - 0.000014*M45^2)*SIN(R45)+ (0.019993 - 0.000101*M45)*SIN(2*R45)+ 0.00029*SIN(3*R45)</f>
        <v>193.101857310796</v>
      </c>
      <c r="AP45" s="18" t="n">
        <f aca="false">ACOS(COS(X45-$A$4*AO45)*COS(Y45))/$A$4</f>
        <v>134.396464623012</v>
      </c>
      <c r="AQ45" s="25" t="n">
        <f aca="false">180 - AP45 -0.1468*(1-0.0549*SIN(R45))*SIN($A$4*AP45)/(1-0.0167*SIN($A$4*AO45))</f>
        <v>45.4933057076081</v>
      </c>
      <c r="AR45" s="25" t="n">
        <f aca="false">SIN($A$4*AI45)</f>
        <v>0.0297854127778591</v>
      </c>
      <c r="AS45" s="25" t="n">
        <f aca="false">COS($A$4*AI45)*SIN($A$4*$G$2) - TAN($A$4*AG45)*COS($A$4*$G$2)</f>
        <v>0.671954426504368</v>
      </c>
      <c r="AT45" s="25" t="n">
        <f aca="false">IF(OR(AND(AR45*AS45&gt;0), AND(AR45&lt;0,AS45&gt;0)), MOD(ATAN2(AS45,AR45)/$A$4+360,360),  ATAN2(AS45,AR45)/$A$4)</f>
        <v>2.53806206620408</v>
      </c>
      <c r="AU45" s="29" t="n">
        <f aca="false">(1+SIN($A$4*H45)*SIN($A$4*AJ45))*120*ASIN(0.272481*SIN($A$4*AJ45))/$A$4</f>
        <v>31.8356734856841</v>
      </c>
      <c r="AV45" s="10" t="n">
        <f aca="false">COS(X45)</f>
        <v>0.845422464989652</v>
      </c>
      <c r="AW45" s="10" t="n">
        <f aca="false">SIN(X45)</f>
        <v>-0.534098170461968</v>
      </c>
      <c r="AX45" s="30" t="n">
        <f aca="false"> 385000.56 + (-20905355*COS(Q45) - 3699111*COS(2*S45-Q45) - 2955968*COS(2*S45) - 569925*COS(2*Q45) + (1-0.002516*M45)*48888*COS(R45) - 3149*COS(2*T45)  +246158*COS(2*S45-2*Q45) -(1-0.002516*M45)*152138*COS(2*S45-R45-Q45) -170733*COS(2*S45+Q45) -(1-0.002516*M45)*204586*COS(2*S45-R45) -(1-0.002516*M45)*129620*COS(R45-Q45)  + 108743*COS(S45) +(1-0.002516*M45)*104755*COS(R45+Q45) +10321*COS(2*S45-2*T45) +79661*COS(Q45-2*T45) -34782*COS(4*S45-Q45) -23210*COS(3*Q45)  -21636*COS(4*S45-2*Q45) +(1-0.002516*M45)*24208*COS(2*S45+R45-Q45) +(1-0.002516*M45)*30824*COS(2*S45+R45) -8379*COS(S45-Q45) -(1-0.002516*M45)*16675*COS(S45+R45)  -(1-0.002516*M45)*12831*COS(2*S45-R45+Q45) -10445*COS(2*S45+2*Q45) -11650*COS(4*S45) +14403*COS(2*S45-3*Q45) -(1-0.002516*M45)*7003*COS(R45-2*Q45)  + (1-0.002516*M45)*10056*COS(2*S45-R45-2*Q45) +6322*COS(S45+Q45) -(1-0.002516*M45)*(1-0.002516*M45)*9884*COS(2*S45-2*R45) +(1-0.002516*M45)*5751*COS(R45+2*Q45) -(1-0.002516*M45)*(1-0.002516*M45)*4950*COS(2*S45-2*R45-Q45)  +4130*COS(2*S45+Q45-2*T45) -(1-0.002516*M45)*3958*COS(4*S45-R45-Q45) +3258*COS(3*S45-Q45) +(1-0.002516*M45)*2616*COS(2*S45+R45+Q45) -(1-0.002516*M45)*1897*COS(4*S45-R45-2*Q45)  -(1-0.002516*M45)*(1-0.002516*M45)*2117*COS(2*R45-Q45) +(1-0.002516*M45)*(1-0.002516*M45)*2354*COS(2*S45+2*R45-Q45) -1423*COS(4*S45+Q45) -1117*COS(4*Q45) -(1-0.002516*M45)*1571*COS(4*S45-R45)  -1739*COS(S45-2*Q45) -4421*COS(2*Q45-2*T45) +(1-0.002516*M45)*(1-0.002516*M45)*1165*COS(2*R45+Q45) +8752*COS(2*S45-Q45-2*T45))/1000</f>
        <v>370298.355683846</v>
      </c>
      <c r="AY45" s="10" t="n">
        <f aca="false">AY44+1/8</f>
        <v>6.375</v>
      </c>
      <c r="AZ45" s="17" t="n">
        <f aca="false">AZ44+1</f>
        <v>44</v>
      </c>
      <c r="BA45" s="32" t="n">
        <f aca="false">ATAN(0.99664719*TAN($A$4*input!$E$2))</f>
        <v>-0.400219206115995</v>
      </c>
      <c r="BB45" s="32" t="n">
        <f aca="false">COS(BA45)</f>
        <v>0.920975608992155</v>
      </c>
      <c r="BC45" s="32" t="n">
        <f aca="false">0.99664719*SIN(BA45)</f>
        <v>-0.388313912533463</v>
      </c>
      <c r="BD45" s="32" t="n">
        <f aca="false">6378.14/AX45</f>
        <v>0.0172243270921936</v>
      </c>
      <c r="BE45" s="33" t="n">
        <f aca="false">MOD(N45-15*AH45,360)</f>
        <v>178.293169118216</v>
      </c>
      <c r="BF45" s="27" t="n">
        <f aca="false">COS($A$4*AG45)*SIN($A$4*BE45)</f>
        <v>0.0284841907231594</v>
      </c>
      <c r="BG45" s="27" t="n">
        <f aca="false">COS($A$4*AG45)*COS($A$4*BE45)-BB45*BD45</f>
        <v>-0.971752329948125</v>
      </c>
      <c r="BH45" s="27" t="n">
        <f aca="false">SIN($A$4*AG45)-BC45*BD45</f>
        <v>-0.285654834742208</v>
      </c>
      <c r="BI45" s="46" t="n">
        <f aca="false">SQRT(BF45^2+BG45^2+BH45^2)</f>
        <v>1.01326828850624</v>
      </c>
      <c r="BJ45" s="35" t="n">
        <f aca="false">AX45*BI45</f>
        <v>375211.581100445</v>
      </c>
    </row>
    <row r="46" customFormat="false" ht="15" hidden="false" customHeight="false" outlineLevel="0" collapsed="false">
      <c r="A46" s="0"/>
      <c r="B46" s="20"/>
      <c r="C46" s="15" t="n">
        <f aca="false">MOD(C45+3,24)</f>
        <v>12</v>
      </c>
      <c r="D46" s="17" t="n">
        <v>6</v>
      </c>
      <c r="E46" s="102" t="n">
        <f aca="false">input!$C$2</f>
        <v>10</v>
      </c>
      <c r="F46" s="102" t="n">
        <f aca="false">input!$D$2</f>
        <v>2022</v>
      </c>
      <c r="G46" s="0"/>
      <c r="H46" s="39" t="n">
        <f aca="false">AM46</f>
        <v>-34.1671146512962</v>
      </c>
      <c r="I46" s="48" t="n">
        <f aca="false">H46+1.02/(TAN($A$4*(H46+10.3/(H46+5.11)))*60)</f>
        <v>-34.1918298492426</v>
      </c>
      <c r="J46" s="39" t="n">
        <f aca="false">100*(1+COS($A$4*AQ46))/2</f>
        <v>86.0576731708319</v>
      </c>
      <c r="K46" s="48" t="n">
        <f aca="false">IF(AI46&gt;180,AT46-180,AT46+180)</f>
        <v>130.163104964391</v>
      </c>
      <c r="L46" s="10" t="n">
        <f aca="false">L45+1/8</f>
        <v>2459859</v>
      </c>
      <c r="M46" s="49" t="n">
        <f aca="false">(L46-2451545)/36525</f>
        <v>0.227624914442163</v>
      </c>
      <c r="N46" s="15" t="n">
        <f aca="false">MOD(280.46061837+360.98564736629*(L46-2451545)+0.000387933*M46^2-M46^3/38710000+$G$4,360)</f>
        <v>195.13284180453</v>
      </c>
      <c r="O46" s="18" t="n">
        <f aca="false">0.60643382+1336.85522467*M46 - 0.00000313*M46^2 - INT(0.60643382+1336.85522467*M46 - 0.00000313*M46^2)</f>
        <v>0.907989794892217</v>
      </c>
      <c r="P46" s="15" t="n">
        <f aca="false">22640*SIN(Q46)-4586*SIN(Q46-2*S46)+2370*SIN(2*S46)+769*SIN(2*Q46)-668*SIN(R46)-412*SIN(2*T46)-212*SIN(2*Q46-2*S46)-206*SIN(Q46+R46-2*S46)+192*SIN(Q46+2*S46)-165*SIN(R46-2*S46)-125*SIN(S46)-110*SIN(Q46+R46)+148*SIN(Q46-R46)-55*SIN(2*T46-2*S46)</f>
        <v>9430.55437659721</v>
      </c>
      <c r="Q46" s="18" t="n">
        <f aca="false">2*PI()*(0.374897+1325.55241*M46 - INT(0.374897+1325.55241*M46))</f>
        <v>0.651257905279057</v>
      </c>
      <c r="R46" s="26" t="n">
        <f aca="false">2*PI()*(0.99312619+99.99735956*M46 - 0.00000044*M46^2 - INT(0.99312619+99.99735956*M46- 0.00000044*M46^2))</f>
        <v>4.7439090914914</v>
      </c>
      <c r="S46" s="26" t="n">
        <f aca="false">2*PI()*(0.827361+1236.853086*M46 - INT(0.827361+1236.853086*M46))</f>
        <v>2.29926178330444</v>
      </c>
      <c r="T46" s="26" t="n">
        <f aca="false">2*PI()*(0.259086+1342.227825*M46 - INT(0.259086+1342.227825*M46))</f>
        <v>4.92337725924696</v>
      </c>
      <c r="U46" s="26" t="n">
        <f aca="false">T46+(P46+412*SIN(2*T46)+541*SIN(R46))/206264.8062</f>
        <v>4.9656582606305</v>
      </c>
      <c r="V46" s="26" t="n">
        <f aca="false">T46-2*S46</f>
        <v>0.324853692638087</v>
      </c>
      <c r="W46" s="25" t="n">
        <f aca="false">-526*SIN(V46)+44*SIN(Q46+V46)-31*SIN(-Q46+V46)-23*SIN(R46+V46)+11*SIN(-R46+V46)-25*SIN(-2*Q46+T46)+21*SIN(-Q46+T46)</f>
        <v>-96.8814749815682</v>
      </c>
      <c r="X46" s="26" t="n">
        <f aca="false">2*PI()*(O46+P46/1296000-INT(O46+P46/1296000))</f>
        <v>5.750788756158</v>
      </c>
      <c r="Y46" s="26" t="n">
        <f aca="false">(18520*SIN(U46)+W46)/206264.8062</f>
        <v>-0.0873928248022453</v>
      </c>
      <c r="Z46" s="26" t="n">
        <f aca="false">Y46*180/PI()</f>
        <v>-5.00724002089488</v>
      </c>
      <c r="AA46" s="26" t="n">
        <f aca="false">COS(Y46)*COS(X46)</f>
        <v>0.858304940035084</v>
      </c>
      <c r="AB46" s="26" t="n">
        <f aca="false">COS(Y46)*SIN(X46)</f>
        <v>-0.50566248439714</v>
      </c>
      <c r="AC46" s="26" t="n">
        <f aca="false">SIN(Y46)</f>
        <v>-0.087281623407696</v>
      </c>
      <c r="AD46" s="26" t="n">
        <f aca="false">COS($A$4*(23.4393-46.815*M46/3600))*AB46-SIN($A$4*(23.4393-46.815*M46/3600))*AC46</f>
        <v>-0.429232107460585</v>
      </c>
      <c r="AE46" s="26" t="n">
        <f aca="false">SIN($A$4*(23.4393-46.815*M46/3600))*AB46+COS($A$4*(23.4393-46.815*M46/3600))*AC46</f>
        <v>-0.281198200272185</v>
      </c>
      <c r="AF46" s="26" t="n">
        <f aca="false">SQRT(1-AE46*AE46)</f>
        <v>0.95964971326192</v>
      </c>
      <c r="AG46" s="10" t="n">
        <f aca="false">ATAN(AE46/AF46)/$A$4</f>
        <v>-16.3317300592318</v>
      </c>
      <c r="AH46" s="26" t="n">
        <f aca="false">IF(24*ATAN(AD46/(AA46+AF46))/PI()&gt;0,24*ATAN(AD46/(AA46+AF46))/PI(),24*ATAN(AD46/(AA46+AF46))/PI()+24)</f>
        <v>22.2287130699988</v>
      </c>
      <c r="AI46" s="10" t="n">
        <f aca="false">IF(N46-15*AH46&gt;0,N46-15*AH46,360+N46-15*AH46)</f>
        <v>221.702145754549</v>
      </c>
      <c r="AJ46" s="18" t="n">
        <f aca="false">0.950724+0.051818*COS(Q46)+0.009531*COS(2*S46-Q46)+0.007843*COS(2*S46)+0.002824*COS(2*Q46)+0.000857*COS(2*S46+Q46)+0.000533*COS(2*S46-R46)+0.000401*COS(2*S46-R46-Q46)+0.00032*COS(Q46-R46)-0.000271*COS(S46)</f>
        <v>0.986432988270445</v>
      </c>
      <c r="AK46" s="50" t="n">
        <f aca="false">ASIN(COS($A$4*$G$2)*COS($A$4*AG46)*COS($A$4*AI46)+SIN($A$4*$G$2)*SIN($A$4*AG46))/$A$4</f>
        <v>-33.3434892595597</v>
      </c>
      <c r="AL46" s="18" t="n">
        <f aca="false">ASIN((0.9983271+0.0016764*COS($A$4*2*$G$2))*COS($A$4*AK46)*SIN($A$4*AJ46))/$A$4</f>
        <v>0.823625391736549</v>
      </c>
      <c r="AM46" s="18" t="n">
        <f aca="false">AK46-AL46</f>
        <v>-34.1671146512962</v>
      </c>
      <c r="AN46" s="10" t="n">
        <f aca="false"> IF(280.4664567 + 360007.6982779*M46/10 + 0.03032028*M46^2/100 + M46^3/49931000&lt;0,MOD(280.4664567 + 360007.6982779*M46/10 + 0.03032028*M46^2/100 + M46^3/49931000+360,360),MOD(280.4664567 + 360007.6982779*M46/10 + 0.03032028*M46^2/100 + M46^3/49931000,360))</f>
        <v>195.138624312811</v>
      </c>
      <c r="AO46" s="27" t="n">
        <f aca="false"> AN46 + (1.9146 - 0.004817*M46 - 0.000014*M46^2)*SIN(R46)+ (0.019993 - 0.000101*M46)*SIN(2*R46)+ 0.00029*SIN(3*R46)</f>
        <v>193.225102602115</v>
      </c>
      <c r="AP46" s="18" t="n">
        <f aca="false">ACOS(COS(X46-$A$4*AO46)*COS(Y46))/$A$4</f>
        <v>136.0427154437</v>
      </c>
      <c r="AQ46" s="25" t="n">
        <f aca="false">180 - AP46 -0.1468*(1-0.0549*SIN(R46))*SIN($A$4*AP46)/(1-0.0167*SIN($A$4*AO46))</f>
        <v>43.8502051964181</v>
      </c>
      <c r="AR46" s="25" t="n">
        <f aca="false">SIN($A$4*AI46)</f>
        <v>-0.665258316147516</v>
      </c>
      <c r="AS46" s="25" t="n">
        <f aca="false">COS($A$4*AI46)*SIN($A$4*$G$2) - TAN($A$4*AG46)*COS($A$4*$G$2)</f>
        <v>0.561452951472498</v>
      </c>
      <c r="AT46" s="25" t="n">
        <f aca="false">IF(OR(AND(AR46*AS46&gt;0), AND(AR46&lt;0,AS46&gt;0)), MOD(ATAN2(AS46,AR46)/$A$4+360,360),  ATAN2(AS46,AR46)/$A$4)</f>
        <v>310.163104964391</v>
      </c>
      <c r="AU46" s="29" t="n">
        <f aca="false">(1+SIN($A$4*H46)*SIN($A$4*AJ46))*120*ASIN(0.272481*SIN($A$4*AJ46))/$A$4</f>
        <v>31.940801309256</v>
      </c>
      <c r="AV46" s="10" t="n">
        <f aca="false">COS(X46)</f>
        <v>0.861593057482802</v>
      </c>
      <c r="AW46" s="10" t="n">
        <f aca="false">SIN(X46)</f>
        <v>-0.507599648638016</v>
      </c>
      <c r="AX46" s="30" t="n">
        <f aca="false"> 385000.56 + (-20905355*COS(Q46) - 3699111*COS(2*S46-Q46) - 2955968*COS(2*S46) - 569925*COS(2*Q46) + (1-0.002516*M46)*48888*COS(R46) - 3149*COS(2*T46)  +246158*COS(2*S46-2*Q46) -(1-0.002516*M46)*152138*COS(2*S46-R46-Q46) -170733*COS(2*S46+Q46) -(1-0.002516*M46)*204586*COS(2*S46-R46) -(1-0.002516*M46)*129620*COS(R46-Q46)  + 108743*COS(S46) +(1-0.002516*M46)*104755*COS(R46+Q46) +10321*COS(2*S46-2*T46) +79661*COS(Q46-2*T46) -34782*COS(4*S46-Q46) -23210*COS(3*Q46)  -21636*COS(4*S46-2*Q46) +(1-0.002516*M46)*24208*COS(2*S46+R46-Q46) +(1-0.002516*M46)*30824*COS(2*S46+R46) -8379*COS(S46-Q46) -(1-0.002516*M46)*16675*COS(S46+R46)  -(1-0.002516*M46)*12831*COS(2*S46-R46+Q46) -10445*COS(2*S46+2*Q46) -11650*COS(4*S46) +14403*COS(2*S46-3*Q46) -(1-0.002516*M46)*7003*COS(R46-2*Q46)  + (1-0.002516*M46)*10056*COS(2*S46-R46-2*Q46) +6322*COS(S46+Q46) -(1-0.002516*M46)*(1-0.002516*M46)*9884*COS(2*S46-2*R46) +(1-0.002516*M46)*5751*COS(R46+2*Q46) -(1-0.002516*M46)*(1-0.002516*M46)*4950*COS(2*S46-2*R46-Q46)  +4130*COS(2*S46+Q46-2*T46) -(1-0.002516*M46)*3958*COS(4*S46-R46-Q46) +3258*COS(3*S46-Q46) +(1-0.002516*M46)*2616*COS(2*S46+R46+Q46) -(1-0.002516*M46)*1897*COS(4*S46-R46-2*Q46)  -(1-0.002516*M46)*(1-0.002516*M46)*2117*COS(2*R46-Q46) +(1-0.002516*M46)*(1-0.002516*M46)*2354*COS(2*S46+2*R46-Q46) -1423*COS(4*S46+Q46) -1117*COS(4*Q46) -(1-0.002516*M46)*1571*COS(4*S46-R46)  -1739*COS(S46-2*Q46) -4421*COS(2*Q46-2*T46) +(1-0.002516*M46)*(1-0.002516*M46)*1165*COS(2*R46+Q46) +8752*COS(2*S46-Q46-2*T46))/1000</f>
        <v>370454.704012354</v>
      </c>
      <c r="AY46" s="10" t="n">
        <f aca="false">AY45+1/8</f>
        <v>6.5</v>
      </c>
      <c r="AZ46" s="17" t="n">
        <f aca="false">AZ45+1</f>
        <v>45</v>
      </c>
      <c r="BA46" s="32" t="n">
        <f aca="false">ATAN(0.99664719*TAN($A$4*input!$E$2))</f>
        <v>-0.400219206115995</v>
      </c>
      <c r="BB46" s="32" t="n">
        <f aca="false">COS(BA46)</f>
        <v>0.920975608992155</v>
      </c>
      <c r="BC46" s="32" t="n">
        <f aca="false">0.99664719*SIN(BA46)</f>
        <v>-0.388313912533463</v>
      </c>
      <c r="BD46" s="32" t="n">
        <f aca="false">6378.14/AX46</f>
        <v>0.0172170576616225</v>
      </c>
      <c r="BE46" s="33" t="n">
        <f aca="false">MOD(N46-15*AH46,360)</f>
        <v>221.702145754549</v>
      </c>
      <c r="BF46" s="27" t="n">
        <f aca="false">COS($A$4*AG46)*SIN($A$4*BE46)</f>
        <v>-0.638414952336071</v>
      </c>
      <c r="BG46" s="27" t="n">
        <f aca="false">COS($A$4*AG46)*COS($A$4*BE46)-BB46*BD46</f>
        <v>-0.732343699260436</v>
      </c>
      <c r="BH46" s="27" t="n">
        <f aca="false">SIN($A$4*AG46)-BC46*BD46</f>
        <v>-0.274512577249286</v>
      </c>
      <c r="BI46" s="46" t="n">
        <f aca="false">SQRT(BF46^2+BG46^2+BH46^2)</f>
        <v>1.00958313193158</v>
      </c>
      <c r="BJ46" s="35" t="n">
        <f aca="false">AX46*BI46</f>
        <v>374004.820315578</v>
      </c>
    </row>
    <row r="47" customFormat="false" ht="15" hidden="false" customHeight="false" outlineLevel="0" collapsed="false">
      <c r="A47" s="0"/>
      <c r="B47" s="20"/>
      <c r="C47" s="15" t="n">
        <f aca="false">MOD(C46+3,24)</f>
        <v>15</v>
      </c>
      <c r="D47" s="17" t="n">
        <v>6</v>
      </c>
      <c r="E47" s="102" t="n">
        <f aca="false">input!$C$2</f>
        <v>10</v>
      </c>
      <c r="F47" s="102" t="n">
        <f aca="false">input!$D$2</f>
        <v>2022</v>
      </c>
      <c r="G47" s="0"/>
      <c r="H47" s="39" t="n">
        <f aca="false">AM47</f>
        <v>0.738141814809057</v>
      </c>
      <c r="I47" s="48" t="n">
        <f aca="false">H47+1.02/(TAN($A$4*(H47+10.3/(H47+5.11)))*60)</f>
        <v>1.12760175573911</v>
      </c>
      <c r="J47" s="39" t="n">
        <f aca="false">100*(1+COS($A$4*AQ47))/2</f>
        <v>87.0353558981562</v>
      </c>
      <c r="K47" s="48" t="n">
        <f aca="false">IF(AI47&gt;180,AT47-180,AT47+180)</f>
        <v>106.287159902087</v>
      </c>
      <c r="L47" s="10" t="n">
        <f aca="false">L46+1/8</f>
        <v>2459859.125</v>
      </c>
      <c r="M47" s="49" t="n">
        <f aca="false">(L47-2451545)/36525</f>
        <v>0.227628336755647</v>
      </c>
      <c r="N47" s="15" t="n">
        <f aca="false">MOD(280.46061837+360.98564736629*(L47-2451545)+0.000387933*M47^2-M47^3/38710000+$G$4,360)</f>
        <v>240.256047726143</v>
      </c>
      <c r="O47" s="18" t="n">
        <f aca="false">0.60643382+1336.85522467*M47 - 0.00000313*M47^2 - INT(0.60643382+1336.85522467*M47 - 0.00000313*M47^2)</f>
        <v>0.912564932548776</v>
      </c>
      <c r="P47" s="15" t="n">
        <f aca="false">22640*SIN(Q47)-4586*SIN(Q47-2*S47)+2370*SIN(2*S47)+769*SIN(2*Q47)-668*SIN(R47)-412*SIN(2*T47)-212*SIN(2*Q47-2*S47)-206*SIN(Q47+R47-2*S47)+192*SIN(Q47+2*S47)-165*SIN(R47-2*S47)-125*SIN(S47)-110*SIN(Q47+R47)+148*SIN(Q47-R47)-55*SIN(2*T47-2*S47)</f>
        <v>9900.17676148714</v>
      </c>
      <c r="Q47" s="18" t="n">
        <f aca="false">2*PI()*(0.374897+1325.55241*M47 - INT(0.374897+1325.55241*M47))</f>
        <v>0.679761298250856</v>
      </c>
      <c r="R47" s="26" t="n">
        <f aca="false">2*PI()*(0.99312619+99.99735956*M47 - 0.00000044*M47^2 - INT(0.99312619+99.99735956*M47- 0.00000044*M47^2))</f>
        <v>4.74605933768951</v>
      </c>
      <c r="S47" s="26" t="n">
        <f aca="false">2*PI()*(0.827361+1236.853086*M47 - INT(0.827361+1236.853086*M47))</f>
        <v>2.325857872069</v>
      </c>
      <c r="T47" s="26" t="n">
        <f aca="false">2*PI()*(0.259086+1342.227825*M47 - INT(0.259086+1342.227825*M47))</f>
        <v>4.95223922416472</v>
      </c>
      <c r="U47" s="26" t="n">
        <f aca="false">T47+(P47+412*SIN(2*T47)+541*SIN(R47))/206264.8062</f>
        <v>4.9966934381821</v>
      </c>
      <c r="V47" s="26" t="n">
        <f aca="false">T47-2*S47</f>
        <v>0.300523480026715</v>
      </c>
      <c r="W47" s="25" t="n">
        <f aca="false">-526*SIN(V47)+44*SIN(Q47+V47)-31*SIN(-Q47+V47)-23*SIN(R47+V47)+11*SIN(-R47+V47)-25*SIN(-2*Q47+T47)+21*SIN(-Q47+T47)</f>
        <v>-83.4441687920612</v>
      </c>
      <c r="X47" s="26" t="n">
        <f aca="false">2*PI()*(O47+P47/1296000-INT(O47+P47/1296000))</f>
        <v>5.78181198743151</v>
      </c>
      <c r="Y47" s="26" t="n">
        <f aca="false">(18520*SIN(U47)+W47)/206264.8062</f>
        <v>-0.0865877011156186</v>
      </c>
      <c r="Z47" s="26" t="n">
        <f aca="false">Y47*180/PI()</f>
        <v>-4.96110983166516</v>
      </c>
      <c r="AA47" s="26" t="n">
        <f aca="false">COS(Y47)*COS(X47)</f>
        <v>0.873638047707463</v>
      </c>
      <c r="AB47" s="26" t="n">
        <f aca="false">COS(Y47)*SIN(X47)</f>
        <v>-0.478829667047505</v>
      </c>
      <c r="AC47" s="26" t="n">
        <f aca="false">SIN(Y47)</f>
        <v>-0.0864795441307801</v>
      </c>
      <c r="AD47" s="26" t="n">
        <f aca="false">COS($A$4*(23.4393-46.815*M47/3600))*AB47-SIN($A$4*(23.4393-46.815*M47/3600))*AC47</f>
        <v>-0.404931940250327</v>
      </c>
      <c r="AE47" s="26" t="n">
        <f aca="false">SIN($A$4*(23.4393-46.815*M47/3600))*AB47+COS($A$4*(23.4393-46.815*M47/3600))*AC47</f>
        <v>-0.269790076472426</v>
      </c>
      <c r="AF47" s="26" t="n">
        <f aca="false">SQRT(1-AE47*AE47)</f>
        <v>0.962919163085356</v>
      </c>
      <c r="AG47" s="10" t="n">
        <f aca="false">ATAN(AE47/AF47)/$A$4</f>
        <v>-15.651775564396</v>
      </c>
      <c r="AH47" s="26" t="n">
        <f aca="false">IF(24*ATAN(AD47/(AA47+AF47))/PI()&gt;0,24*ATAN(AD47/(AA47+AF47))/PI(),24*ATAN(AD47/(AA47+AF47))/PI()+24)</f>
        <v>22.3421492716637</v>
      </c>
      <c r="AI47" s="10" t="n">
        <f aca="false">IF(N47-15*AH47&gt;0,N47-15*AH47,360+N47-15*AH47)</f>
        <v>265.123808651188</v>
      </c>
      <c r="AJ47" s="18" t="n">
        <f aca="false">0.950724+0.051818*COS(Q47)+0.009531*COS(2*S47-Q47)+0.007843*COS(2*S47)+0.002824*COS(2*Q47)+0.000857*COS(2*S47+Q47)+0.000533*COS(2*S47-R47)+0.000401*COS(2*S47-R47-Q47)+0.00032*COS(Q47-R47)-0.000271*COS(S47)</f>
        <v>0.986018721135589</v>
      </c>
      <c r="AK47" s="50" t="n">
        <f aca="false">ASIN(COS($A$4*$G$2)*COS($A$4*AG47)*COS($A$4*AI47)+SIN($A$4*$G$2)*SIN($A$4*AG47))/$A$4</f>
        <v>1.72321348396206</v>
      </c>
      <c r="AL47" s="18" t="n">
        <f aca="false">ASIN((0.9983271+0.0016764*COS($A$4*2*$G$2))*COS($A$4*AK47)*SIN($A$4*AJ47))/$A$4</f>
        <v>0.985071669153</v>
      </c>
      <c r="AM47" s="18" t="n">
        <f aca="false">AK47-AL47</f>
        <v>0.738141814809057</v>
      </c>
      <c r="AN47" s="10" t="n">
        <f aca="false"> IF(280.4664567 + 360007.6982779*M47/10 + 0.03032028*M47^2/100 + M47^3/49931000&lt;0,MOD(280.4664567 + 360007.6982779*M47/10 + 0.03032028*M47^2/100 + M47^3/49931000+360,360),MOD(280.4664567 + 360007.6982779*M47/10 + 0.03032028*M47^2/100 + M47^3/49931000,360))</f>
        <v>195.261830233298</v>
      </c>
      <c r="AO47" s="27" t="n">
        <f aca="false"> AN47 + (1.9146 - 0.004817*M47 - 0.000014*M47^2)*SIN(R47)+ (0.019993 - 0.000101*M47)*SIN(2*R47)+ 0.00029*SIN(3*R47)</f>
        <v>193.348356747488</v>
      </c>
      <c r="AP47" s="18" t="n">
        <f aca="false">ACOS(COS(X47-$A$4*AO47)*COS(Y47))/$A$4</f>
        <v>137.687842938638</v>
      </c>
      <c r="AQ47" s="25" t="n">
        <f aca="false">180 - AP47 -0.1468*(1-0.0549*SIN(R47))*SIN($A$4*AP47)/(1-0.0167*SIN($A$4*AO47))</f>
        <v>42.2083139474838</v>
      </c>
      <c r="AR47" s="25" t="n">
        <f aca="false">SIN($A$4*AI47)</f>
        <v>-0.996380704261978</v>
      </c>
      <c r="AS47" s="25" t="n">
        <f aca="false">COS($A$4*AI47)*SIN($A$4*$G$2) - TAN($A$4*AG47)*COS($A$4*$G$2)</f>
        <v>0.291119739397984</v>
      </c>
      <c r="AT47" s="25" t="n">
        <f aca="false">IF(OR(AND(AR47*AS47&gt;0), AND(AR47&lt;0,AS47&gt;0)), MOD(ATAN2(AS47,AR47)/$A$4+360,360),  ATAN2(AS47,AR47)/$A$4)</f>
        <v>286.287159902087</v>
      </c>
      <c r="AU47" s="29" t="n">
        <f aca="false">(1+SIN($A$4*H47)*SIN($A$4*AJ47))*120*ASIN(0.272481*SIN($A$4*AJ47))/$A$4</f>
        <v>32.2462379170199</v>
      </c>
      <c r="AV47" s="10" t="n">
        <f aca="false">COS(X47)</f>
        <v>0.876923329974082</v>
      </c>
      <c r="AW47" s="10" t="n">
        <f aca="false">SIN(X47)</f>
        <v>-0.480630287588254</v>
      </c>
      <c r="AX47" s="30" t="n">
        <f aca="false"> 385000.56 + (-20905355*COS(Q47) - 3699111*COS(2*S47-Q47) - 2955968*COS(2*S47) - 569925*COS(2*Q47) + (1-0.002516*M47)*48888*COS(R47) - 3149*COS(2*T47)  +246158*COS(2*S47-2*Q47) -(1-0.002516*M47)*152138*COS(2*S47-R47-Q47) -170733*COS(2*S47+Q47) -(1-0.002516*M47)*204586*COS(2*S47-R47) -(1-0.002516*M47)*129620*COS(R47-Q47)  + 108743*COS(S47) +(1-0.002516*M47)*104755*COS(R47+Q47) +10321*COS(2*S47-2*T47) +79661*COS(Q47-2*T47) -34782*COS(4*S47-Q47) -23210*COS(3*Q47)  -21636*COS(4*S47-2*Q47) +(1-0.002516*M47)*24208*COS(2*S47+R47-Q47) +(1-0.002516*M47)*30824*COS(2*S47+R47) -8379*COS(S47-Q47) -(1-0.002516*M47)*16675*COS(S47+R47)  -(1-0.002516*M47)*12831*COS(2*S47-R47+Q47) -10445*COS(2*S47+2*Q47) -11650*COS(4*S47) +14403*COS(2*S47-3*Q47) -(1-0.002516*M47)*7003*COS(R47-2*Q47)  + (1-0.002516*M47)*10056*COS(2*S47-R47-2*Q47) +6322*COS(S47+Q47) -(1-0.002516*M47)*(1-0.002516*M47)*9884*COS(2*S47-2*R47) +(1-0.002516*M47)*5751*COS(R47+2*Q47) -(1-0.002516*M47)*(1-0.002516*M47)*4950*COS(2*S47-2*R47-Q47)  +4130*COS(2*S47+Q47-2*T47) -(1-0.002516*M47)*3958*COS(4*S47-R47-Q47) +3258*COS(3*S47-Q47) +(1-0.002516*M47)*2616*COS(2*S47+R47+Q47) -(1-0.002516*M47)*1897*COS(4*S47-R47-2*Q47)  -(1-0.002516*M47)*(1-0.002516*M47)*2117*COS(2*R47-Q47) +(1-0.002516*M47)*(1-0.002516*M47)*2354*COS(2*S47+2*R47-Q47) -1423*COS(4*S47+Q47) -1117*COS(4*Q47) -(1-0.002516*M47)*1571*COS(4*S47-R47)  -1739*COS(S47-2*Q47) -4421*COS(2*Q47-2*T47) +(1-0.002516*M47)*(1-0.002516*M47)*1165*COS(2*R47+Q47) +8752*COS(2*S47-Q47-2*T47))/1000</f>
        <v>370623.609992015</v>
      </c>
      <c r="AY47" s="10" t="n">
        <f aca="false">AY46+1/8</f>
        <v>6.625</v>
      </c>
      <c r="AZ47" s="17" t="n">
        <f aca="false">AZ46+1</f>
        <v>46</v>
      </c>
      <c r="BA47" s="32" t="n">
        <f aca="false">ATAN(0.99664719*TAN($A$4*input!$E$2))</f>
        <v>-0.400219206115995</v>
      </c>
      <c r="BB47" s="32" t="n">
        <f aca="false">COS(BA47)</f>
        <v>0.920975608992155</v>
      </c>
      <c r="BC47" s="32" t="n">
        <f aca="false">0.99664719*SIN(BA47)</f>
        <v>-0.388313912533463</v>
      </c>
      <c r="BD47" s="32" t="n">
        <f aca="false">6378.14/AX47</f>
        <v>0.0172092112538038</v>
      </c>
      <c r="BE47" s="33" t="n">
        <f aca="false">MOD(N47-15*AH47,360)</f>
        <v>265.123808651188</v>
      </c>
      <c r="BF47" s="27" t="n">
        <f aca="false">COS($A$4*AG47)*SIN($A$4*BE47)</f>
        <v>-0.959434073862341</v>
      </c>
      <c r="BG47" s="27" t="n">
        <f aca="false">COS($A$4*AG47)*COS($A$4*BE47)-BB47*BD47</f>
        <v>-0.0977001804187419</v>
      </c>
      <c r="BH47" s="27" t="n">
        <f aca="false">SIN($A$4*AG47)-BC47*BD47</f>
        <v>-0.263107500318846</v>
      </c>
      <c r="BI47" s="46" t="n">
        <f aca="false">SQRT(BF47^2+BG47^2+BH47^2)</f>
        <v>0.999642248039755</v>
      </c>
      <c r="BJ47" s="35" t="n">
        <f aca="false">AX47*BI47</f>
        <v>370491.018669028</v>
      </c>
    </row>
    <row r="48" customFormat="false" ht="15" hidden="false" customHeight="false" outlineLevel="0" collapsed="false">
      <c r="A48" s="0"/>
      <c r="B48" s="20"/>
      <c r="C48" s="15" t="n">
        <f aca="false">MOD(C47+3,24)</f>
        <v>18</v>
      </c>
      <c r="D48" s="17" t="n">
        <v>6</v>
      </c>
      <c r="E48" s="102" t="n">
        <f aca="false">input!$C$2</f>
        <v>10</v>
      </c>
      <c r="F48" s="102" t="n">
        <f aca="false">input!$D$2</f>
        <v>2022</v>
      </c>
      <c r="G48" s="0"/>
      <c r="H48" s="39" t="n">
        <f aca="false">AM48</f>
        <v>40.1883915474901</v>
      </c>
      <c r="I48" s="48" t="n">
        <f aca="false">H48+1.02/(TAN($A$4*(H48+10.3/(H48+5.11)))*60)</f>
        <v>40.208355342592</v>
      </c>
      <c r="J48" s="39" t="n">
        <f aca="false">100*(1+COS($A$4*AQ48))/2</f>
        <v>87.9818626353084</v>
      </c>
      <c r="K48" s="48" t="n">
        <f aca="false">IF(AI48&gt;180,AT48-180,AT48+180)</f>
        <v>90.1759462203299</v>
      </c>
      <c r="L48" s="10" t="n">
        <f aca="false">L47+1/8</f>
        <v>2459859.25</v>
      </c>
      <c r="M48" s="49" t="n">
        <f aca="false">(L48-2451545)/36525</f>
        <v>0.227631759069131</v>
      </c>
      <c r="N48" s="15" t="n">
        <f aca="false">MOD(280.46061837+360.98564736629*(L48-2451545)+0.000387933*M48^2-M48^3/38710000+$G$4,360)</f>
        <v>285.37925364729</v>
      </c>
      <c r="O48" s="18" t="n">
        <f aca="false">0.60643382+1336.85522467*M48 - 0.00000313*M48^2 - INT(0.60643382+1336.85522467*M48 - 0.00000313*M48^2)</f>
        <v>0.917140070205392</v>
      </c>
      <c r="P48" s="15" t="n">
        <f aca="false">22640*SIN(Q48)-4586*SIN(Q48-2*S48)+2370*SIN(2*S48)+769*SIN(2*Q48)-668*SIN(R48)-412*SIN(2*T48)-212*SIN(2*Q48-2*S48)-206*SIN(Q48+R48-2*S48)+192*SIN(Q48+2*S48)-165*SIN(R48-2*S48)-125*SIN(S48)-110*SIN(Q48+R48)+148*SIN(Q48-R48)-55*SIN(2*T48-2*S48)</f>
        <v>10364.9736394272</v>
      </c>
      <c r="Q48" s="18" t="n">
        <f aca="false">2*PI()*(0.374897+1325.55241*M48 - INT(0.374897+1325.55241*M48))</f>
        <v>0.708264691223011</v>
      </c>
      <c r="R48" s="26" t="n">
        <f aca="false">2*PI()*(0.99312619+99.99735956*M48 - 0.00000044*M48^2 - INT(0.99312619+99.99735956*M48- 0.00000044*M48^2))</f>
        <v>4.74820958388761</v>
      </c>
      <c r="S48" s="26" t="n">
        <f aca="false">2*PI()*(0.827361+1236.853086*M48 - INT(0.827361+1236.853086*M48))</f>
        <v>2.35245396083428</v>
      </c>
      <c r="T48" s="26" t="n">
        <f aca="false">2*PI()*(0.259086+1342.227825*M48 - INT(0.259086+1342.227825*M48))</f>
        <v>4.98110118908248</v>
      </c>
      <c r="U48" s="26" t="n">
        <f aca="false">T48+(P48+412*SIN(2*T48)+541*SIN(R48))/206264.8062</f>
        <v>5.02770830390849</v>
      </c>
      <c r="V48" s="26" t="n">
        <f aca="false">T48-2*S48</f>
        <v>0.276193267413916</v>
      </c>
      <c r="W48" s="25" t="n">
        <f aca="false">-526*SIN(V48)+44*SIN(Q48+V48)-31*SIN(-Q48+V48)-23*SIN(R48+V48)+11*SIN(-R48+V48)-25*SIN(-2*Q48+T48)+21*SIN(-Q48+T48)</f>
        <v>-69.9741189683366</v>
      </c>
      <c r="X48" s="26" t="n">
        <f aca="false">2*PI()*(O48+P48/1296000-INT(O48+P48/1296000))</f>
        <v>5.81281182398751</v>
      </c>
      <c r="Y48" s="26" t="n">
        <f aca="false">(18520*SIN(U48)+W48)/206264.8062</f>
        <v>-0.0856999808621659</v>
      </c>
      <c r="Z48" s="26" t="n">
        <f aca="false">Y48*180/PI()</f>
        <v>-4.91024720775403</v>
      </c>
      <c r="AA48" s="26" t="n">
        <f aca="false">COS(Y48)*COS(X48)</f>
        <v>0.888127649230885</v>
      </c>
      <c r="AB48" s="26" t="n">
        <f aca="false">COS(Y48)*SIN(X48)</f>
        <v>-0.451555926600983</v>
      </c>
      <c r="AC48" s="26" t="n">
        <f aca="false">SIN(Y48)</f>
        <v>-0.0855951156500776</v>
      </c>
      <c r="AD48" s="26" t="n">
        <f aca="false">COS($A$4*(23.4393-46.815*M48/3600))*AB48-SIN($A$4*(23.4393-46.815*M48/3600))*AC48</f>
        <v>-0.380259977696839</v>
      </c>
      <c r="AE48" s="26" t="n">
        <f aca="false">SIN($A$4*(23.4393-46.815*M48/3600))*AB48+COS($A$4*(23.4393-46.815*M48/3600))*AC48</f>
        <v>-0.258131028808282</v>
      </c>
      <c r="AF48" s="26" t="n">
        <f aca="false">SQRT(1-AE48*AE48)</f>
        <v>0.966109917124536</v>
      </c>
      <c r="AG48" s="10" t="n">
        <f aca="false">ATAN(AE48/AF48)/$A$4</f>
        <v>-14.9591928582438</v>
      </c>
      <c r="AH48" s="26" t="n">
        <f aca="false">IF(24*ATAN(AD48/(AA48+AF48))/PI()&gt;0,24*ATAN(AD48/(AA48+AF48))/PI(),24*ATAN(AD48/(AA48+AF48))/PI()+24)</f>
        <v>22.4547579282675</v>
      </c>
      <c r="AI48" s="10" t="n">
        <f aca="false">IF(N48-15*AH48&gt;0,N48-15*AH48,360+N48-15*AH48)</f>
        <v>308.557884723278</v>
      </c>
      <c r="AJ48" s="18" t="n">
        <f aca="false">0.950724+0.051818*COS(Q48)+0.009531*COS(2*S48-Q48)+0.007843*COS(2*S48)+0.002824*COS(2*Q48)+0.000857*COS(2*S48+Q48)+0.000533*COS(2*S48-R48)+0.000401*COS(2*S48-R48-Q48)+0.00032*COS(Q48-R48)-0.000271*COS(S48)</f>
        <v>0.985570212236141</v>
      </c>
      <c r="AK48" s="50" t="n">
        <f aca="false">ASIN(COS($A$4*$G$2)*COS($A$4*AG48)*COS($A$4*AI48)+SIN($A$4*$G$2)*SIN($A$4*AG48))/$A$4</f>
        <v>40.9325768930154</v>
      </c>
      <c r="AL48" s="18" t="n">
        <f aca="false">ASIN((0.9983271+0.0016764*COS($A$4*2*$G$2))*COS($A$4*AK48)*SIN($A$4*AJ48))/$A$4</f>
        <v>0.7441853455253</v>
      </c>
      <c r="AM48" s="18" t="n">
        <f aca="false">AK48-AL48</f>
        <v>40.1883915474901</v>
      </c>
      <c r="AN48" s="10" t="n">
        <f aca="false"> IF(280.4664567 + 360007.6982779*M48/10 + 0.03032028*M48^2/100 + M48^3/49931000&lt;0,MOD(280.4664567 + 360007.6982779*M48/10 + 0.03032028*M48^2/100 + M48^3/49931000+360,360),MOD(280.4664567 + 360007.6982779*M48/10 + 0.03032028*M48^2/100 + M48^3/49931000,360))</f>
        <v>195.385036153784</v>
      </c>
      <c r="AO48" s="27" t="n">
        <f aca="false"> AN48 + (1.9146 - 0.004817*M48 - 0.000014*M48^2)*SIN(R48)+ (0.019993 - 0.000101*M48)*SIN(2*R48)+ 0.00029*SIN(3*R48)</f>
        <v>193.471619747881</v>
      </c>
      <c r="AP48" s="18" t="n">
        <f aca="false">ACOS(COS(X48-$A$4*AO48)*COS(Y48))/$A$4</f>
        <v>139.331705241952</v>
      </c>
      <c r="AQ48" s="25" t="n">
        <f aca="false">180 - AP48 -0.1468*(1-0.0549*SIN(R48))*SIN($A$4*AP48)/(1-0.0167*SIN($A$4*AO48))</f>
        <v>40.5677706824237</v>
      </c>
      <c r="AR48" s="25" t="n">
        <f aca="false">SIN($A$4*AI48)</f>
        <v>-0.781978844100122</v>
      </c>
      <c r="AS48" s="25" t="n">
        <f aca="false">COS($A$4*AI48)*SIN($A$4*$G$2) - TAN($A$4*AG48)*COS($A$4*$G$2)</f>
        <v>0.00240134012750112</v>
      </c>
      <c r="AT48" s="25" t="n">
        <f aca="false">IF(OR(AND(AR48*AS48&gt;0), AND(AR48&lt;0,AS48&gt;0)), MOD(ATAN2(AS48,AR48)/$A$4+360,360),  ATAN2(AS48,AR48)/$A$4)</f>
        <v>270.17594622033</v>
      </c>
      <c r="AU48" s="29" t="n">
        <f aca="false">(1+SIN($A$4*H48)*SIN($A$4*AJ48))*120*ASIN(0.272481*SIN($A$4*AJ48))/$A$4</f>
        <v>32.5821057338718</v>
      </c>
      <c r="AV48" s="10" t="n">
        <f aca="false">COS(X48)</f>
        <v>0.891399080601457</v>
      </c>
      <c r="AW48" s="10" t="n">
        <f aca="false">SIN(X48)</f>
        <v>-0.453219239555072</v>
      </c>
      <c r="AX48" s="30" t="n">
        <f aca="false"> 385000.56 + (-20905355*COS(Q48) - 3699111*COS(2*S48-Q48) - 2955968*COS(2*S48) - 569925*COS(2*Q48) + (1-0.002516*M48)*48888*COS(R48) - 3149*COS(2*T48)  +246158*COS(2*S48-2*Q48) -(1-0.002516*M48)*152138*COS(2*S48-R48-Q48) -170733*COS(2*S48+Q48) -(1-0.002516*M48)*204586*COS(2*S48-R48) -(1-0.002516*M48)*129620*COS(R48-Q48)  + 108743*COS(S48) +(1-0.002516*M48)*104755*COS(R48+Q48) +10321*COS(2*S48-2*T48) +79661*COS(Q48-2*T48) -34782*COS(4*S48-Q48) -23210*COS(3*Q48)  -21636*COS(4*S48-2*Q48) +(1-0.002516*M48)*24208*COS(2*S48+R48-Q48) +(1-0.002516*M48)*30824*COS(2*S48+R48) -8379*COS(S48-Q48) -(1-0.002516*M48)*16675*COS(S48+R48)  -(1-0.002516*M48)*12831*COS(2*S48-R48+Q48) -10445*COS(2*S48+2*Q48) -11650*COS(4*S48) +14403*COS(2*S48-3*Q48) -(1-0.002516*M48)*7003*COS(R48-2*Q48)  + (1-0.002516*M48)*10056*COS(2*S48-R48-2*Q48) +6322*COS(S48+Q48) -(1-0.002516*M48)*(1-0.002516*M48)*9884*COS(2*S48-2*R48) +(1-0.002516*M48)*5751*COS(R48+2*Q48) -(1-0.002516*M48)*(1-0.002516*M48)*4950*COS(2*S48-2*R48-Q48)  +4130*COS(2*S48+Q48-2*T48) -(1-0.002516*M48)*3958*COS(4*S48-R48-Q48) +3258*COS(3*S48-Q48) +(1-0.002516*M48)*2616*COS(2*S48+R48+Q48) -(1-0.002516*M48)*1897*COS(4*S48-R48-2*Q48)  -(1-0.002516*M48)*(1-0.002516*M48)*2117*COS(2*R48-Q48) +(1-0.002516*M48)*(1-0.002516*M48)*2354*COS(2*S48+2*R48-Q48) -1423*COS(4*S48+Q48) -1117*COS(4*Q48) -(1-0.002516*M48)*1571*COS(4*S48-R48)  -1739*COS(S48-2*Q48) -4421*COS(2*Q48-2*T48) +(1-0.002516*M48)*(1-0.002516*M48)*1165*COS(2*R48+Q48) +8752*COS(2*S48-Q48-2*T48))/1000</f>
        <v>370805.208273369</v>
      </c>
      <c r="AY48" s="10" t="n">
        <f aca="false">AY47+1/8</f>
        <v>6.75</v>
      </c>
      <c r="AZ48" s="17" t="n">
        <f aca="false">AZ47+1</f>
        <v>47</v>
      </c>
      <c r="BA48" s="32" t="n">
        <f aca="false">ATAN(0.99664719*TAN($A$4*input!$E$2))</f>
        <v>-0.400219206115995</v>
      </c>
      <c r="BB48" s="32" t="n">
        <f aca="false">COS(BA48)</f>
        <v>0.920975608992155</v>
      </c>
      <c r="BC48" s="32" t="n">
        <f aca="false">0.99664719*SIN(BA48)</f>
        <v>-0.388313912533463</v>
      </c>
      <c r="BD48" s="32" t="n">
        <f aca="false">6378.14/AX48</f>
        <v>0.0172007832082494</v>
      </c>
      <c r="BE48" s="33" t="n">
        <f aca="false">MOD(N48-15*AH48,360)</f>
        <v>308.557884723278</v>
      </c>
      <c r="BF48" s="27" t="n">
        <f aca="false">COS($A$4*AG48)*SIN($A$4*BE48)</f>
        <v>-0.755477516266709</v>
      </c>
      <c r="BG48" s="27" t="n">
        <f aca="false">COS($A$4*AG48)*COS($A$4*BE48)-BB48*BD48</f>
        <v>0.586339612478314</v>
      </c>
      <c r="BH48" s="27" t="n">
        <f aca="false">SIN($A$4*AG48)-BC48*BD48</f>
        <v>-0.251451725382047</v>
      </c>
      <c r="BI48" s="46" t="n">
        <f aca="false">SQRT(BF48^2+BG48^2+BH48^2)</f>
        <v>0.988821717471529</v>
      </c>
      <c r="BJ48" s="35" t="n">
        <f aca="false">AX48*BI48</f>
        <v>366660.242892261</v>
      </c>
    </row>
    <row r="49" customFormat="false" ht="15" hidden="false" customHeight="false" outlineLevel="0" collapsed="false">
      <c r="A49" s="0"/>
      <c r="B49" s="20"/>
      <c r="C49" s="15" t="n">
        <f aca="false">MOD(C48+3,24)</f>
        <v>21</v>
      </c>
      <c r="D49" s="17" t="n">
        <v>6</v>
      </c>
      <c r="E49" s="102" t="n">
        <f aca="false">input!$C$2</f>
        <v>10</v>
      </c>
      <c r="F49" s="102" t="n">
        <f aca="false">input!$D$2</f>
        <v>2022</v>
      </c>
      <c r="G49" s="0"/>
      <c r="H49" s="39" t="n">
        <f aca="false">AM49</f>
        <v>78.2383596150736</v>
      </c>
      <c r="I49" s="48" t="n">
        <f aca="false">H49+1.02/(TAN($A$4*(H49+10.3/(H49+5.11)))*60)</f>
        <v>78.2418609848057</v>
      </c>
      <c r="J49" s="39" t="n">
        <f aca="false">100*(1+COS($A$4*AQ49))/2</f>
        <v>88.8964135058581</v>
      </c>
      <c r="K49" s="48" t="n">
        <f aca="false">IF(AI49&gt;180,AT49-180,AT49+180)</f>
        <v>42.2625276335171</v>
      </c>
      <c r="L49" s="10" t="n">
        <f aca="false">L48+1/8</f>
        <v>2459859.375</v>
      </c>
      <c r="M49" s="49" t="n">
        <f aca="false">(L49-2451545)/36525</f>
        <v>0.227635181382615</v>
      </c>
      <c r="N49" s="15" t="n">
        <f aca="false">MOD(280.46061837+360.98564736629*(L49-2451545)+0.000387933*M49^2-M49^3/38710000+$G$4,360)</f>
        <v>330.502459568903</v>
      </c>
      <c r="O49" s="18" t="n">
        <f aca="false">0.60643382+1336.85522467*M49 - 0.00000313*M49^2 - INT(0.60643382+1336.85522467*M49 - 0.00000313*M49^2)</f>
        <v>0.921715207861894</v>
      </c>
      <c r="P49" s="15" t="n">
        <f aca="false">22640*SIN(Q49)-4586*SIN(Q49-2*S49)+2370*SIN(2*S49)+769*SIN(2*Q49)-668*SIN(R49)-412*SIN(2*T49)-212*SIN(2*Q49-2*S49)-206*SIN(Q49+R49-2*S49)+192*SIN(Q49+2*S49)-165*SIN(R49-2*S49)-125*SIN(S49)-110*SIN(Q49+R49)+148*SIN(Q49-R49)-55*SIN(2*T49-2*S49)</f>
        <v>10824.4194541027</v>
      </c>
      <c r="Q49" s="18" t="n">
        <f aca="false">2*PI()*(0.374897+1325.55241*M49 - INT(0.374897+1325.55241*M49))</f>
        <v>0.73676808419481</v>
      </c>
      <c r="R49" s="26" t="n">
        <f aca="false">2*PI()*(0.99312619+99.99735956*M49 - 0.00000044*M49^2 - INT(0.99312619+99.99735956*M49- 0.00000044*M49^2))</f>
        <v>4.75035983008571</v>
      </c>
      <c r="S49" s="26" t="n">
        <f aca="false">2*PI()*(0.827361+1236.853086*M49 - INT(0.827361+1236.853086*M49))</f>
        <v>2.37905004959885</v>
      </c>
      <c r="T49" s="26" t="n">
        <f aca="false">2*PI()*(0.259086+1342.227825*M49 - INT(0.259086+1342.227825*M49))</f>
        <v>5.00996315399988</v>
      </c>
      <c r="U49" s="26" t="n">
        <f aca="false">T49+(P49+412*SIN(2*T49)+541*SIN(R49))/206264.8062</f>
        <v>5.05870064526385</v>
      </c>
      <c r="V49" s="26" t="n">
        <f aca="false">T49-2*S49</f>
        <v>0.251863054802187</v>
      </c>
      <c r="W49" s="25" t="n">
        <f aca="false">-526*SIN(V49)+44*SIN(Q49+V49)-31*SIN(-Q49+V49)-23*SIN(R49+V49)+11*SIN(-R49+V49)-25*SIN(-2*Q49+T49)+21*SIN(-Q49+T49)</f>
        <v>-56.4824150344149</v>
      </c>
      <c r="X49" s="26" t="n">
        <f aca="false">2*PI()*(O49+P49/1296000-INT(O49+P49/1296000))</f>
        <v>5.843785717856</v>
      </c>
      <c r="Y49" s="26" t="n">
        <f aca="false">(18520*SIN(U49)+W49)/206264.8062</f>
        <v>-0.0847307383351551</v>
      </c>
      <c r="Z49" s="26" t="n">
        <f aca="false">Y49*180/PI()</f>
        <v>-4.85471370163172</v>
      </c>
      <c r="AA49" s="26" t="n">
        <f aca="false">COS(Y49)*COS(X49)</f>
        <v>0.901760523516082</v>
      </c>
      <c r="AB49" s="26" t="n">
        <f aca="false">COS(Y49)*SIN(X49)</f>
        <v>-0.423870056202182</v>
      </c>
      <c r="AC49" s="26" t="n">
        <f aca="false">SIN(Y49)</f>
        <v>-0.0846293901854479</v>
      </c>
      <c r="AD49" s="26" t="n">
        <f aca="false">COS($A$4*(23.4393-46.815*M49/3600))*AB49-SIN($A$4*(23.4393-46.815*M49/3600))*AC49</f>
        <v>-0.355242219083852</v>
      </c>
      <c r="AE49" s="26" t="n">
        <f aca="false">SIN($A$4*(23.4393-46.815*M49/3600))*AB49+COS($A$4*(23.4393-46.815*M49/3600))*AC49</f>
        <v>-0.246233474589427</v>
      </c>
      <c r="AF49" s="26" t="n">
        <f aca="false">SQRT(1-AE49*AE49)</f>
        <v>0.969210542653978</v>
      </c>
      <c r="AG49" s="10" t="n">
        <f aca="false">ATAN(AE49/AF49)/$A$4</f>
        <v>-14.2547399574533</v>
      </c>
      <c r="AH49" s="26" t="n">
        <f aca="false">IF(24*ATAN(AD49/(AA49+AF49))/PI()&gt;0,24*ATAN(AD49/(AA49+AF49))/PI(),24*ATAN(AD49/(AA49+AF49))/PI()+24)</f>
        <v>22.5665592197479</v>
      </c>
      <c r="AI49" s="10" t="n">
        <f aca="false">IF(N49-15*AH49&gt;0,N49-15*AH49,360+N49-15*AH49)</f>
        <v>352.004071272684</v>
      </c>
      <c r="AJ49" s="18" t="n">
        <f aca="false">0.950724+0.051818*COS(Q49)+0.009531*COS(2*S49-Q49)+0.007843*COS(2*S49)+0.002824*COS(2*Q49)+0.000857*COS(2*S49+Q49)+0.000533*COS(2*S49-R49)+0.000401*COS(2*S49-R49-Q49)+0.00032*COS(Q49-R49)-0.000271*COS(S49)</f>
        <v>0.985087080995848</v>
      </c>
      <c r="AK49" s="50" t="n">
        <f aca="false">ASIN(COS($A$4*$G$2)*COS($A$4*AG49)*COS($A$4*AI49)+SIN($A$4*$G$2)*SIN($A$4*AG49))/$A$4</f>
        <v>78.435727397332</v>
      </c>
      <c r="AL49" s="18" t="n">
        <f aca="false">ASIN((0.9983271+0.0016764*COS($A$4*2*$G$2))*COS($A$4*AK49)*SIN($A$4*AJ49))/$A$4</f>
        <v>0.197367782258427</v>
      </c>
      <c r="AM49" s="18" t="n">
        <f aca="false">AK49-AL49</f>
        <v>78.2383596150736</v>
      </c>
      <c r="AN49" s="10" t="n">
        <f aca="false"> IF(280.4664567 + 360007.6982779*M49/10 + 0.03032028*M49^2/100 + M49^3/49931000&lt;0,MOD(280.4664567 + 360007.6982779*M49/10 + 0.03032028*M49^2/100 + M49^3/49931000+360,360),MOD(280.4664567 + 360007.6982779*M49/10 + 0.03032028*M49^2/100 + M49^3/49931000,360))</f>
        <v>195.508242074269</v>
      </c>
      <c r="AO49" s="27" t="n">
        <f aca="false"> AN49 + (1.9146 - 0.004817*M49 - 0.000014*M49^2)*SIN(R49)+ (0.019993 - 0.000101*M49)*SIN(2*R49)+ 0.00029*SIN(3*R49)</f>
        <v>193.594891604226</v>
      </c>
      <c r="AP49" s="18" t="n">
        <f aca="false">ACOS(COS(X49-$A$4*AO49)*COS(Y49))/$A$4</f>
        <v>140.974153707714</v>
      </c>
      <c r="AQ49" s="25" t="n">
        <f aca="false">180 - AP49 -0.1468*(1-0.0549*SIN(R49))*SIN($A$4*AP49)/(1-0.0167*SIN($A$4*AO49))</f>
        <v>38.9287208017406</v>
      </c>
      <c r="AR49" s="25" t="n">
        <f aca="false">SIN($A$4*AI49)</f>
        <v>-0.139102735018631</v>
      </c>
      <c r="AS49" s="25" t="n">
        <f aca="false">COS($A$4*AI49)*SIN($A$4*$G$2) - TAN($A$4*AG49)*COS($A$4*$G$2)</f>
        <v>-0.15307290702691</v>
      </c>
      <c r="AT49" s="25" t="n">
        <f aca="false">IF(OR(AND(AR49*AS49&gt;0), AND(AR49&lt;0,AS49&gt;0)), MOD(ATAN2(AS49,AR49)/$A$4+360,360),  ATAN2(AS49,AR49)/$A$4)</f>
        <v>222.262527633517</v>
      </c>
      <c r="AU49" s="29" t="n">
        <f aca="false">(1+SIN($A$4*H49)*SIN($A$4*AJ49))*120*ASIN(0.272481*SIN($A$4*AJ49))/$A$4</f>
        <v>32.7507424488926</v>
      </c>
      <c r="AV49" s="10" t="n">
        <f aca="false">COS(X49)</f>
        <v>0.905007238728623</v>
      </c>
      <c r="AW49" s="10" t="n">
        <f aca="false">SIN(X49)</f>
        <v>-0.425396165766445</v>
      </c>
      <c r="AX49" s="30" t="n">
        <f aca="false"> 385000.56 + (-20905355*COS(Q49) - 3699111*COS(2*S49-Q49) - 2955968*COS(2*S49) - 569925*COS(2*Q49) + (1-0.002516*M49)*48888*COS(R49) - 3149*COS(2*T49)  +246158*COS(2*S49-2*Q49) -(1-0.002516*M49)*152138*COS(2*S49-R49-Q49) -170733*COS(2*S49+Q49) -(1-0.002516*M49)*204586*COS(2*S49-R49) -(1-0.002516*M49)*129620*COS(R49-Q49)  + 108743*COS(S49) +(1-0.002516*M49)*104755*COS(R49+Q49) +10321*COS(2*S49-2*T49) +79661*COS(Q49-2*T49) -34782*COS(4*S49-Q49) -23210*COS(3*Q49)  -21636*COS(4*S49-2*Q49) +(1-0.002516*M49)*24208*COS(2*S49+R49-Q49) +(1-0.002516*M49)*30824*COS(2*S49+R49) -8379*COS(S49-Q49) -(1-0.002516*M49)*16675*COS(S49+R49)  -(1-0.002516*M49)*12831*COS(2*S49-R49+Q49) -10445*COS(2*S49+2*Q49) -11650*COS(4*S49) +14403*COS(2*S49-3*Q49) -(1-0.002516*M49)*7003*COS(R49-2*Q49)  + (1-0.002516*M49)*10056*COS(2*S49-R49-2*Q49) +6322*COS(S49+Q49) -(1-0.002516*M49)*(1-0.002516*M49)*9884*COS(2*S49-2*R49) +(1-0.002516*M49)*5751*COS(R49+2*Q49) -(1-0.002516*M49)*(1-0.002516*M49)*4950*COS(2*S49-2*R49-Q49)  +4130*COS(2*S49+Q49-2*T49) -(1-0.002516*M49)*3958*COS(4*S49-R49-Q49) +3258*COS(3*S49-Q49) +(1-0.002516*M49)*2616*COS(2*S49+R49+Q49) -(1-0.002516*M49)*1897*COS(4*S49-R49-2*Q49)  -(1-0.002516*M49)*(1-0.002516*M49)*2117*COS(2*R49-Q49) +(1-0.002516*M49)*(1-0.002516*M49)*2354*COS(2*S49+2*R49-Q49) -1423*COS(4*S49+Q49) -1117*COS(4*Q49) -(1-0.002516*M49)*1571*COS(4*S49-R49)  -1739*COS(S49-2*Q49) -4421*COS(2*Q49-2*T49) +(1-0.002516*M49)*(1-0.002516*M49)*1165*COS(2*R49+Q49) +8752*COS(2*S49-Q49-2*T49))/1000</f>
        <v>370999.619504016</v>
      </c>
      <c r="AY49" s="10" t="n">
        <f aca="false">AY48+1/8</f>
        <v>6.875</v>
      </c>
      <c r="AZ49" s="17" t="n">
        <f aca="false">AZ48+1</f>
        <v>48</v>
      </c>
      <c r="BA49" s="32" t="n">
        <f aca="false">ATAN(0.99664719*TAN($A$4*input!$E$2))</f>
        <v>-0.400219206115995</v>
      </c>
      <c r="BB49" s="32" t="n">
        <f aca="false">COS(BA49)</f>
        <v>0.920975608992155</v>
      </c>
      <c r="BC49" s="32" t="n">
        <f aca="false">0.99664719*SIN(BA49)</f>
        <v>-0.388313912533463</v>
      </c>
      <c r="BD49" s="32" t="n">
        <f aca="false">6378.14/AX49</f>
        <v>0.0171917696533674</v>
      </c>
      <c r="BE49" s="33" t="n">
        <f aca="false">MOD(N49-15*AH49,360)</f>
        <v>352.004071272684</v>
      </c>
      <c r="BF49" s="27" t="n">
        <f aca="false">COS($A$4*AG49)*SIN($A$4*BE49)</f>
        <v>-0.13481983729206</v>
      </c>
      <c r="BG49" s="27" t="n">
        <f aca="false">COS($A$4*AG49)*COS($A$4*BE49)-BB49*BD49</f>
        <v>0.943954634083216</v>
      </c>
      <c r="BH49" s="27" t="n">
        <f aca="false">SIN($A$4*AG49)-BC49*BD49</f>
        <v>-0.239557671251953</v>
      </c>
      <c r="BI49" s="46" t="n">
        <f aca="false">SQRT(BF49^2+BG49^2+BH49^2)</f>
        <v>0.983165610459548</v>
      </c>
      <c r="BJ49" s="35" t="n">
        <f aca="false">AX49*BI49</f>
        <v>364754.067389926</v>
      </c>
    </row>
    <row r="50" customFormat="false" ht="15" hidden="false" customHeight="false" outlineLevel="0" collapsed="false">
      <c r="A50" s="0"/>
      <c r="B50" s="20"/>
      <c r="C50" s="15" t="n">
        <f aca="false">MOD(C49+3,24)</f>
        <v>0</v>
      </c>
      <c r="D50" s="36" t="n">
        <v>7</v>
      </c>
      <c r="E50" s="102" t="n">
        <f aca="false">input!$C$2</f>
        <v>10</v>
      </c>
      <c r="F50" s="102" t="n">
        <f aca="false">input!$D$2</f>
        <v>2022</v>
      </c>
      <c r="H50" s="39" t="n">
        <f aca="false">AM50</f>
        <v>54.5611637486133</v>
      </c>
      <c r="I50" s="48" t="n">
        <f aca="false">H50+1.02/(TAN($A$4*(H50+10.3/(H50+5.11)))*60)</f>
        <v>54.5731853800967</v>
      </c>
      <c r="J50" s="39" t="n">
        <f aca="false">100*(1+COS($A$4*AQ50))/2</f>
        <v>89.7782654013368</v>
      </c>
      <c r="K50" s="48" t="n">
        <f aca="false">IF(AI50&gt;180,AT50-180,AT50+180)</f>
        <v>279.452448220578</v>
      </c>
      <c r="L50" s="10" t="n">
        <f aca="false">L49+1/8</f>
        <v>2459859.5</v>
      </c>
      <c r="M50" s="49" t="n">
        <f aca="false">(L50-2451545)/36525</f>
        <v>0.227638603696099</v>
      </c>
      <c r="N50" s="15" t="n">
        <f aca="false">MOD(280.46061837+360.98564736629*(L50-2451545)+0.000387933*M50^2-M50^3/38710000+$G$4,360)</f>
        <v>15.6256654905155</v>
      </c>
      <c r="O50" s="18" t="n">
        <f aca="false">0.60643382+1336.85522467*M50 - 0.00000313*M50^2 - INT(0.60643382+1336.85522467*M50 - 0.00000313*M50^2)</f>
        <v>0.926290345518453</v>
      </c>
      <c r="P50" s="15" t="n">
        <f aca="false">22640*SIN(Q50)-4586*SIN(Q50-2*S50)+2370*SIN(2*S50)+769*SIN(2*Q50)-668*SIN(R50)-412*SIN(2*T50)-212*SIN(2*Q50-2*S50)-206*SIN(Q50+R50-2*S50)+192*SIN(Q50+2*S50)-165*SIN(R50-2*S50)-125*SIN(S50)-110*SIN(Q50+R50)+148*SIN(Q50-R50)-55*SIN(2*T50-2*S50)</f>
        <v>11277.9819492785</v>
      </c>
      <c r="Q50" s="18" t="n">
        <f aca="false">2*PI()*(0.374897+1325.55241*M50 - INT(0.374897+1325.55241*M50))</f>
        <v>0.765271477166966</v>
      </c>
      <c r="R50" s="26" t="n">
        <f aca="false">2*PI()*(0.99312619+99.99735956*M50 - 0.00000044*M50^2 - INT(0.99312619+99.99735956*M50- 0.00000044*M50^2))</f>
        <v>4.75251007628382</v>
      </c>
      <c r="S50" s="26" t="n">
        <f aca="false">2*PI()*(0.827361+1236.853086*M50 - INT(0.827361+1236.853086*M50))</f>
        <v>2.40564613836377</v>
      </c>
      <c r="T50" s="26" t="n">
        <f aca="false">2*PI()*(0.259086+1342.227825*M50 - INT(0.259086+1342.227825*M50))</f>
        <v>5.03882511891764</v>
      </c>
      <c r="U50" s="26" t="n">
        <f aca="false">T50+(P50+412*SIN(2*T50)+541*SIN(R50))/206264.8062</f>
        <v>5.08966820587478</v>
      </c>
      <c r="V50" s="26" t="n">
        <f aca="false">T50-2*S50</f>
        <v>0.227532842190102</v>
      </c>
      <c r="W50" s="25" t="n">
        <f aca="false">-526*SIN(V50)+44*SIN(Q50+V50)-31*SIN(-Q50+V50)-23*SIN(R50+V50)+11*SIN(-R50+V50)-25*SIN(-2*Q50+T50)+21*SIN(-Q50+T50)</f>
        <v>-42.9800786693021</v>
      </c>
      <c r="X50" s="26" t="n">
        <f aca="false">2*PI()*(O50+P50/1296000-INT(O50+P50/1296000))</f>
        <v>5.87473108858701</v>
      </c>
      <c r="Y50" s="26" t="n">
        <f aca="false">(18520*SIN(U50)+W50)/206264.8062</f>
        <v>-0.0836811474665499</v>
      </c>
      <c r="Z50" s="26" t="n">
        <f aca="false">Y50*180/PI()</f>
        <v>-4.79457657464517</v>
      </c>
      <c r="AA50" s="26" t="n">
        <f aca="false">COS(Y50)*COS(X50)</f>
        <v>0.91452452579898</v>
      </c>
      <c r="AB50" s="26" t="n">
        <f aca="false">COS(Y50)*SIN(X50)</f>
        <v>-0.395801322863279</v>
      </c>
      <c r="AC50" s="26" t="n">
        <f aca="false">SIN(Y50)</f>
        <v>-0.0835835183025283</v>
      </c>
      <c r="AD50" s="26" t="n">
        <f aca="false">COS($A$4*(23.4393-46.815*M50/3600))*AB50-SIN($A$4*(23.4393-46.815*M50/3600))*AC50</f>
        <v>-0.329905059354787</v>
      </c>
      <c r="AE50" s="26" t="n">
        <f aca="false">SIN($A$4*(23.4393-46.815*M50/3600))*AB50+COS($A$4*(23.4393-46.815*M50/3600))*AC50</f>
        <v>-0.234110109829253</v>
      </c>
      <c r="AF50" s="26" t="n">
        <f aca="false">SQRT(1-AE50*AE50)</f>
        <v>0.972210088651489</v>
      </c>
      <c r="AG50" s="10" t="n">
        <f aca="false">ATAN(AE50/AF50)/$A$4</f>
        <v>-13.5391726100858</v>
      </c>
      <c r="AH50" s="26" t="n">
        <f aca="false">IF(24*ATAN(AD50/(AA50+AF50))/PI()&gt;0,24*ATAN(AD50/(AA50+AF50))/PI(),24*ATAN(AD50/(AA50+AF50))/PI()+24)</f>
        <v>22.6775751203344</v>
      </c>
      <c r="AI50" s="10" t="n">
        <f aca="false">IF(N50-15*AH50&gt;0,N50-15*AH50,360+N50-15*AH50)</f>
        <v>35.4620386855003</v>
      </c>
      <c r="AJ50" s="18" t="n">
        <f aca="false">0.950724+0.051818*COS(Q50)+0.009531*COS(2*S50-Q50)+0.007843*COS(2*S50)+0.002824*COS(2*Q50)+0.000857*COS(2*S50+Q50)+0.000533*COS(2*S50-R50)+0.000401*COS(2*S50-R50-Q50)+0.00032*COS(Q50-R50)-0.000271*COS(S50)</f>
        <v>0.984569002875393</v>
      </c>
      <c r="AK50" s="50" t="n">
        <f aca="false">ASIN(COS($A$4*$G$2)*COS($A$4*AG50)*COS($A$4*AI50)+SIN($A$4*$G$2)*SIN($A$4*AG50))/$A$4</f>
        <v>55.1238399509449</v>
      </c>
      <c r="AL50" s="18" t="n">
        <f aca="false">ASIN((0.9983271+0.0016764*COS($A$4*2*$G$2))*COS($A$4*AK50)*SIN($A$4*AJ50))/$A$4</f>
        <v>0.562676202331642</v>
      </c>
      <c r="AM50" s="18" t="n">
        <f aca="false">AK50-AL50</f>
        <v>54.5611637486133</v>
      </c>
      <c r="AN50" s="10" t="n">
        <f aca="false"> IF(280.4664567 + 360007.6982779*M50/10 + 0.03032028*M50^2/100 + M50^3/49931000&lt;0,MOD(280.4664567 + 360007.6982779*M50/10 + 0.03032028*M50^2/100 + M50^3/49931000+360,360),MOD(280.4664567 + 360007.6982779*M50/10 + 0.03032028*M50^2/100 + M50^3/49931000,360))</f>
        <v>195.631447994752</v>
      </c>
      <c r="AO50" s="27" t="n">
        <f aca="false"> AN50 + (1.9146 - 0.004817*M50 - 0.000014*M50^2)*SIN(R50)+ (0.019993 - 0.000101*M50)*SIN(2*R50)+ 0.00029*SIN(3*R50)</f>
        <v>193.718172317412</v>
      </c>
      <c r="AP50" s="18" t="n">
        <f aca="false">ACOS(COS(X50-$A$4*AO50)*COS(Y50))/$A$4</f>
        <v>142.615032355792</v>
      </c>
      <c r="AQ50" s="25" t="n">
        <f aca="false">180 - AP50 -0.1468*(1-0.0549*SIN(R50))*SIN($A$4*AP50)/(1-0.0167*SIN($A$4*AO50))</f>
        <v>37.2913169413958</v>
      </c>
      <c r="AR50" s="25" t="n">
        <f aca="false">SIN($A$4*AI50)</f>
        <v>0.580163436117348</v>
      </c>
      <c r="AS50" s="25" t="n">
        <f aca="false">COS($A$4*AI50)*SIN($A$4*$G$2) - TAN($A$4*AG50)*COS($A$4*$G$2)</f>
        <v>-0.0965911500534496</v>
      </c>
      <c r="AT50" s="25" t="n">
        <f aca="false">IF(OR(AND(AR50*AS50&gt;0), AND(AR50&lt;0,AS50&gt;0)), MOD(ATAN2(AS50,AR50)/$A$4+360,360),  ATAN2(AS50,AR50)/$A$4)</f>
        <v>99.4524482205782</v>
      </c>
      <c r="AU50" s="29" t="n">
        <f aca="false">(1+SIN($A$4*H50)*SIN($A$4*AJ50))*120*ASIN(0.272481*SIN($A$4*AJ50))/$A$4</f>
        <v>32.642368674316</v>
      </c>
      <c r="AV50" s="10" t="n">
        <f aca="false">COS(X50)</f>
        <v>0.917735889756804</v>
      </c>
      <c r="AW50" s="10" t="n">
        <f aca="false">SIN(X50)</f>
        <v>-0.39719118400625</v>
      </c>
      <c r="AX50" s="30" t="n">
        <f aca="false"> 385000.56 + (-20905355*COS(Q50) - 3699111*COS(2*S50-Q50) - 2955968*COS(2*S50) - 569925*COS(2*Q50) + (1-0.002516*M50)*48888*COS(R50) - 3149*COS(2*T50)  +246158*COS(2*S50-2*Q50) -(1-0.002516*M50)*152138*COS(2*S50-R50-Q50) -170733*COS(2*S50+Q50) -(1-0.002516*M50)*204586*COS(2*S50-R50) -(1-0.002516*M50)*129620*COS(R50-Q50)  + 108743*COS(S50) +(1-0.002516*M50)*104755*COS(R50+Q50) +10321*COS(2*S50-2*T50) +79661*COS(Q50-2*T50) -34782*COS(4*S50-Q50) -23210*COS(3*Q50)  -21636*COS(4*S50-2*Q50) +(1-0.002516*M50)*24208*COS(2*S50+R50-Q50) +(1-0.002516*M50)*30824*COS(2*S50+R50) -8379*COS(S50-Q50) -(1-0.002516*M50)*16675*COS(S50+R50)  -(1-0.002516*M50)*12831*COS(2*S50-R50+Q50) -10445*COS(2*S50+2*Q50) -11650*COS(4*S50) +14403*COS(2*S50-3*Q50) -(1-0.002516*M50)*7003*COS(R50-2*Q50)  + (1-0.002516*M50)*10056*COS(2*S50-R50-2*Q50) +6322*COS(S50+Q50) -(1-0.002516*M50)*(1-0.002516*M50)*9884*COS(2*S50-2*R50) +(1-0.002516*M50)*5751*COS(R50+2*Q50) -(1-0.002516*M50)*(1-0.002516*M50)*4950*COS(2*S50-2*R50-Q50)  +4130*COS(2*S50+Q50-2*T50) -(1-0.002516*M50)*3958*COS(4*S50-R50-Q50) +3258*COS(3*S50-Q50) +(1-0.002516*M50)*2616*COS(2*S50+R50+Q50) -(1-0.002516*M50)*1897*COS(4*S50-R50-2*Q50)  -(1-0.002516*M50)*(1-0.002516*M50)*2117*COS(2*R50-Q50) +(1-0.002516*M50)*(1-0.002516*M50)*2354*COS(2*S50+2*R50-Q50) -1423*COS(4*S50+Q50) -1117*COS(4*Q50) -(1-0.002516*M50)*1571*COS(4*S50-R50)  -1739*COS(S50-2*Q50) -4421*COS(2*Q50-2*T50) +(1-0.002516*M50)*(1-0.002516*M50)*1165*COS(2*R50+Q50) +8752*COS(2*S50-Q50-2*T50))/1000</f>
        <v>371206.949261284</v>
      </c>
      <c r="AY50" s="10" t="n">
        <f aca="false">AY49+1/8</f>
        <v>7</v>
      </c>
      <c r="AZ50" s="17" t="n">
        <f aca="false">AZ49+1</f>
        <v>49</v>
      </c>
      <c r="BA50" s="32" t="n">
        <f aca="false">ATAN(0.99664719*TAN($A$4*input!$E$2))</f>
        <v>-0.400219206115995</v>
      </c>
      <c r="BB50" s="32" t="n">
        <f aca="false">COS(BA50)</f>
        <v>0.920975608992155</v>
      </c>
      <c r="BC50" s="32" t="n">
        <f aca="false">0.99664719*SIN(BA50)</f>
        <v>-0.388313912533463</v>
      </c>
      <c r="BD50" s="32" t="n">
        <f aca="false">6378.14/AX50</f>
        <v>0.0171821675555718</v>
      </c>
      <c r="BE50" s="33" t="n">
        <f aca="false">MOD(N50-15*AH50,360)</f>
        <v>35.4620386855003</v>
      </c>
      <c r="BF50" s="27" t="n">
        <f aca="false">COS($A$4*AG50)*SIN($A$4*BE50)</f>
        <v>0.56404074566</v>
      </c>
      <c r="BG50" s="27" t="n">
        <f aca="false">COS($A$4*AG50)*COS($A$4*BE50)-BB50*BD50</f>
        <v>0.776040841976116</v>
      </c>
      <c r="BH50" s="27" t="n">
        <f aca="false">SIN($A$4*AG50)-BC50*BD50</f>
        <v>-0.227438035119943</v>
      </c>
      <c r="BI50" s="46" t="n">
        <f aca="false">SQRT(BF50^2+BG50^2+BH50^2)</f>
        <v>0.985956089792496</v>
      </c>
      <c r="BJ50" s="35" t="n">
        <f aca="false">AX50*BI50</f>
        <v>365993.752197457</v>
      </c>
    </row>
    <row r="51" customFormat="false" ht="15" hidden="false" customHeight="false" outlineLevel="0" collapsed="false">
      <c r="A51" s="0"/>
      <c r="B51" s="20"/>
      <c r="C51" s="15" t="n">
        <f aca="false">MOD(C50+3,24)</f>
        <v>3</v>
      </c>
      <c r="D51" s="105" t="n">
        <v>7</v>
      </c>
      <c r="E51" s="102" t="n">
        <f aca="false">input!$C$2</f>
        <v>10</v>
      </c>
      <c r="F51" s="102" t="n">
        <f aca="false">input!$D$2</f>
        <v>2022</v>
      </c>
      <c r="H51" s="39" t="n">
        <f aca="false">AM51</f>
        <v>14.0592972161319</v>
      </c>
      <c r="I51" s="48" t="n">
        <f aca="false">H51+1.02/(TAN($A$4*(H51+10.3/(H51+5.11)))*60)</f>
        <v>14.1245770327624</v>
      </c>
      <c r="J51" s="39" t="n">
        <f aca="false">100*(1+COS($A$4*AQ51))/2</f>
        <v>90.6267133242998</v>
      </c>
      <c r="K51" s="48" t="n">
        <f aca="false">IF(AI51&gt;180,AT51-180,AT51+180)</f>
        <v>262.205240996447</v>
      </c>
      <c r="L51" s="10" t="n">
        <f aca="false">L50+1/8</f>
        <v>2459859.625</v>
      </c>
      <c r="M51" s="49" t="n">
        <f aca="false">(L51-2451545)/36525</f>
        <v>0.227642026009582</v>
      </c>
      <c r="N51" s="15" t="n">
        <f aca="false">MOD(280.46061837+360.98564736629*(L51-2451545)+0.000387933*M51^2-M51^3/38710000+$G$4,360)</f>
        <v>60.7488714116626</v>
      </c>
      <c r="O51" s="18" t="n">
        <f aca="false">0.60643382+1336.85522467*M51 - 0.00000313*M51^2 - INT(0.60643382+1336.85522467*M51 - 0.00000313*M51^2)</f>
        <v>0.930865483175012</v>
      </c>
      <c r="P51" s="15" t="n">
        <f aca="false">22640*SIN(Q51)-4586*SIN(Q51-2*S51)+2370*SIN(2*S51)+769*SIN(2*Q51)-668*SIN(R51)-412*SIN(2*T51)-212*SIN(2*Q51-2*S51)-206*SIN(Q51+R51-2*S51)+192*SIN(Q51+2*S51)-165*SIN(R51-2*S51)-125*SIN(S51)-110*SIN(Q51+R51)+148*SIN(Q51-R51)-55*SIN(2*T51-2*S51)</f>
        <v>11725.1232882775</v>
      </c>
      <c r="Q51" s="18" t="n">
        <f aca="false">2*PI()*(0.374897+1325.55241*M51 - INT(0.374897+1325.55241*M51))</f>
        <v>0.793774870138765</v>
      </c>
      <c r="R51" s="26" t="n">
        <f aca="false">2*PI()*(0.99312619+99.99735956*M51 - 0.00000044*M51^2 - INT(0.99312619+99.99735956*M51- 0.00000044*M51^2))</f>
        <v>4.75466032248192</v>
      </c>
      <c r="S51" s="26" t="n">
        <f aca="false">2*PI()*(0.827361+1236.853086*M51 - INT(0.827361+1236.853086*M51))</f>
        <v>2.43224222712869</v>
      </c>
      <c r="T51" s="26" t="n">
        <f aca="false">2*PI()*(0.259086+1342.227825*M51 - INT(0.259086+1342.227825*M51))</f>
        <v>5.06768708383505</v>
      </c>
      <c r="U51" s="26" t="n">
        <f aca="false">T51+(P51+412*SIN(2*T51)+541*SIN(R51))/206264.8062</f>
        <v>5.12060868988565</v>
      </c>
      <c r="V51" s="26" t="n">
        <f aca="false">T51-2*S51</f>
        <v>0.203202629577659</v>
      </c>
      <c r="W51" s="25" t="n">
        <f aca="false">-526*SIN(V51)+44*SIN(Q51+V51)-31*SIN(-Q51+V51)-23*SIN(R51+V51)+11*SIN(-R51+V51)-25*SIN(-2*Q51+T51)+21*SIN(-Q51+T51)</f>
        <v>-29.4780482802625</v>
      </c>
      <c r="X51" s="26" t="n">
        <f aca="false">2*PI()*(O51+P51/1296000-INT(O51+P51/1296000))</f>
        <v>5.90564532867439</v>
      </c>
      <c r="Y51" s="26" t="n">
        <f aca="false">(18520*SIN(U51)+W51)/206264.8062</f>
        <v>-0.0825524800728833</v>
      </c>
      <c r="Z51" s="26" t="n">
        <f aca="false">Y51*180/PI()</f>
        <v>-4.72990869651404</v>
      </c>
      <c r="AA51" s="26" t="n">
        <f aca="false">COS(Y51)*COS(X51)</f>
        <v>0.926408611917521</v>
      </c>
      <c r="AB51" s="26" t="n">
        <f aca="false">COS(Y51)*SIN(X51)</f>
        <v>-0.36737942069091</v>
      </c>
      <c r="AC51" s="26" t="n">
        <f aca="false">SIN(Y51)</f>
        <v>-0.0824587473702093</v>
      </c>
      <c r="AD51" s="26" t="n">
        <f aca="false">COS($A$4*(23.4393-46.815*M51/3600))*AB51-SIN($A$4*(23.4393-46.815*M51/3600))*AC51</f>
        <v>-0.30427524681181</v>
      </c>
      <c r="AE51" s="26" t="n">
        <f aca="false">SIN($A$4*(23.4393-46.815*M51/3600))*AB51+COS($A$4*(23.4393-46.815*M51/3600))*AC51</f>
        <v>-0.221773889226538</v>
      </c>
      <c r="AF51" s="26" t="n">
        <f aca="false">SQRT(1-AE51*AE51)</f>
        <v>0.975098119194851</v>
      </c>
      <c r="AG51" s="10" t="n">
        <f aca="false">ATAN(AE51/AF51)/$A$4</f>
        <v>-12.8132434349392</v>
      </c>
      <c r="AH51" s="26" t="n">
        <f aca="false">IF(24*ATAN(AD51/(AA51+AF51))/PI()&gt;0,24*ATAN(AD51/(AA51+AF51))/PI(),24*ATAN(AD51/(AA51+AF51))/PI()+24)</f>
        <v>22.7878292245228</v>
      </c>
      <c r="AI51" s="10" t="n">
        <f aca="false">IF(N51-15*AH51&gt;0,N51-15*AH51,360+N51-15*AH51)</f>
        <v>78.9314330438213</v>
      </c>
      <c r="AJ51" s="18" t="n">
        <f aca="false">0.950724+0.051818*COS(Q51)+0.009531*COS(2*S51-Q51)+0.007843*COS(2*S51)+0.002824*COS(2*Q51)+0.000857*COS(2*S51+Q51)+0.000533*COS(2*S51-R51)+0.000401*COS(2*S51-R51-Q51)+0.00032*COS(Q51-R51)-0.000271*COS(S51)</f>
        <v>0.984015712746757</v>
      </c>
      <c r="AK51" s="50" t="n">
        <f aca="false">ASIN(COS($A$4*$G$2)*COS($A$4*AG51)*COS($A$4*AI51)+SIN($A$4*$G$2)*SIN($A$4*AG51))/$A$4</f>
        <v>15.0092558924315</v>
      </c>
      <c r="AL51" s="18" t="n">
        <f aca="false">ASIN((0.9983271+0.0016764*COS($A$4*2*$G$2))*COS($A$4*AK51)*SIN($A$4*AJ51))/$A$4</f>
        <v>0.949958676299595</v>
      </c>
      <c r="AM51" s="18" t="n">
        <f aca="false">AK51-AL51</f>
        <v>14.0592972161319</v>
      </c>
      <c r="AN51" s="10" t="n">
        <f aca="false"> IF(280.4664567 + 360007.6982779*M51/10 + 0.03032028*M51^2/100 + M51^3/49931000&lt;0,MOD(280.4664567 + 360007.6982779*M51/10 + 0.03032028*M51^2/100 + M51^3/49931000+360,360),MOD(280.4664567 + 360007.6982779*M51/10 + 0.03032028*M51^2/100 + M51^3/49931000,360))</f>
        <v>195.754653915239</v>
      </c>
      <c r="AO51" s="27" t="n">
        <f aca="false"> AN51 + (1.9146 - 0.004817*M51 - 0.000014*M51^2)*SIN(R51)+ (0.019993 - 0.000101*M51)*SIN(2*R51)+ 0.00029*SIN(3*R51)</f>
        <v>193.841461888295</v>
      </c>
      <c r="AP51" s="18" t="n">
        <f aca="false">ACOS(COS(X51-$A$4*AO51)*COS(Y51))/$A$4</f>
        <v>144.254177137268</v>
      </c>
      <c r="AQ51" s="25" t="n">
        <f aca="false">180 - AP51 -0.1468*(1-0.0549*SIN(R51))*SIN($A$4*AP51)/(1-0.0167*SIN($A$4*AO51))</f>
        <v>35.6557197095778</v>
      </c>
      <c r="AR51" s="25" t="n">
        <f aca="false">SIN($A$4*AI51)</f>
        <v>0.981398135812592</v>
      </c>
      <c r="AS51" s="25" t="n">
        <f aca="false">COS($A$4*AI51)*SIN($A$4*$G$2) - TAN($A$4*AG51)*COS($A$4*$G$2)</f>
        <v>0.134343367777996</v>
      </c>
      <c r="AT51" s="25" t="n">
        <f aca="false">IF(OR(AND(AR51*AS51&gt;0), AND(AR51&lt;0,AS51&gt;0)), MOD(ATAN2(AS51,AR51)/$A$4+360,360),  ATAN2(AS51,AR51)/$A$4)</f>
        <v>82.2052409964466</v>
      </c>
      <c r="AU51" s="29" t="n">
        <f aca="false">(1+SIN($A$4*H51)*SIN($A$4*AJ51))*120*ASIN(0.272481*SIN($A$4*AJ51))/$A$4</f>
        <v>32.3078304566611</v>
      </c>
      <c r="AV51" s="10" t="n">
        <f aca="false">COS(X51)</f>
        <v>0.929574296982651</v>
      </c>
      <c r="AW51" s="10" t="n">
        <f aca="false">SIN(X51)</f>
        <v>-0.368634814402018</v>
      </c>
      <c r="AX51" s="30" t="n">
        <f aca="false"> 385000.56 + (-20905355*COS(Q51) - 3699111*COS(2*S51-Q51) - 2955968*COS(2*S51) - 569925*COS(2*Q51) + (1-0.002516*M51)*48888*COS(R51) - 3149*COS(2*T51)  +246158*COS(2*S51-2*Q51) -(1-0.002516*M51)*152138*COS(2*S51-R51-Q51) -170733*COS(2*S51+Q51) -(1-0.002516*M51)*204586*COS(2*S51-R51) -(1-0.002516*M51)*129620*COS(R51-Q51)  + 108743*COS(S51) +(1-0.002516*M51)*104755*COS(R51+Q51) +10321*COS(2*S51-2*T51) +79661*COS(Q51-2*T51) -34782*COS(4*S51-Q51) -23210*COS(3*Q51)  -21636*COS(4*S51-2*Q51) +(1-0.002516*M51)*24208*COS(2*S51+R51-Q51) +(1-0.002516*M51)*30824*COS(2*S51+R51) -8379*COS(S51-Q51) -(1-0.002516*M51)*16675*COS(S51+R51)  -(1-0.002516*M51)*12831*COS(2*S51-R51+Q51) -10445*COS(2*S51+2*Q51) -11650*COS(4*S51) +14403*COS(2*S51-3*Q51) -(1-0.002516*M51)*7003*COS(R51-2*Q51)  + (1-0.002516*M51)*10056*COS(2*S51-R51-2*Q51) +6322*COS(S51+Q51) -(1-0.002516*M51)*(1-0.002516*M51)*9884*COS(2*S51-2*R51) +(1-0.002516*M51)*5751*COS(R51+2*Q51) -(1-0.002516*M51)*(1-0.002516*M51)*4950*COS(2*S51-2*R51-Q51)  +4130*COS(2*S51+Q51-2*T51) -(1-0.002516*M51)*3958*COS(4*S51-R51-Q51) +3258*COS(3*S51-Q51) +(1-0.002516*M51)*2616*COS(2*S51+R51+Q51) -(1-0.002516*M51)*1897*COS(4*S51-R51-2*Q51)  -(1-0.002516*M51)*(1-0.002516*M51)*2117*COS(2*R51-Q51) +(1-0.002516*M51)*(1-0.002516*M51)*2354*COS(2*S51+2*R51-Q51) -1423*COS(4*S51+Q51) -1117*COS(4*Q51) -(1-0.002516*M51)*1571*COS(4*S51-R51)  -1739*COS(S51-2*Q51) -4421*COS(2*Q51-2*T51) +(1-0.002516*M51)*(1-0.002516*M51)*1165*COS(2*R51+Q51) +8752*COS(2*S51-Q51-2*T51))/1000</f>
        <v>371427.287016791</v>
      </c>
      <c r="AY51" s="10" t="n">
        <f aca="false">AY50+1/8</f>
        <v>7.125</v>
      </c>
      <c r="AZ51" s="17" t="n">
        <f aca="false">AZ50+1</f>
        <v>50</v>
      </c>
      <c r="BA51" s="32" t="n">
        <f aca="false">ATAN(0.99664719*TAN($A$4*input!$E$2))</f>
        <v>-0.400219206115995</v>
      </c>
      <c r="BB51" s="32" t="n">
        <f aca="false">COS(BA51)</f>
        <v>0.920975608992155</v>
      </c>
      <c r="BC51" s="32" t="n">
        <f aca="false">0.99664719*SIN(BA51)</f>
        <v>-0.388313912533463</v>
      </c>
      <c r="BD51" s="32" t="n">
        <f aca="false">6378.14/AX51</f>
        <v>0.0171719747658488</v>
      </c>
      <c r="BE51" s="33" t="n">
        <f aca="false">MOD(N51-15*AH51,360)</f>
        <v>78.9314330438213</v>
      </c>
      <c r="BF51" s="27" t="n">
        <f aca="false">COS($A$4*AG51)*SIN($A$4*BE51)</f>
        <v>0.956959476412191</v>
      </c>
      <c r="BG51" s="27" t="n">
        <f aca="false">COS($A$4*AG51)*COS($A$4*BE51)-BB51*BD51</f>
        <v>0.171387868101084</v>
      </c>
      <c r="BH51" s="27" t="n">
        <f aca="false">SIN($A$4*AG51)-BC51*BD51</f>
        <v>-0.215105772519285</v>
      </c>
      <c r="BI51" s="46" t="n">
        <f aca="false">SQRT(BF51^2+BG51^2+BH51^2)</f>
        <v>0.995698616147701</v>
      </c>
      <c r="BJ51" s="35" t="n">
        <f aca="false">AX51*BI51</f>
        <v>369829.635682114</v>
      </c>
    </row>
    <row r="52" customFormat="false" ht="15" hidden="false" customHeight="false" outlineLevel="0" collapsed="false">
      <c r="A52" s="0"/>
      <c r="B52" s="20"/>
      <c r="C52" s="15" t="n">
        <f aca="false">MOD(C51+3,24)</f>
        <v>6</v>
      </c>
      <c r="D52" s="105" t="n">
        <v>7</v>
      </c>
      <c r="E52" s="102" t="n">
        <f aca="false">input!$C$2</f>
        <v>10</v>
      </c>
      <c r="F52" s="102" t="n">
        <f aca="false">input!$D$2</f>
        <v>2022</v>
      </c>
      <c r="H52" s="39" t="n">
        <f aca="false">AM52</f>
        <v>-24.5234449844476</v>
      </c>
      <c r="I52" s="48" t="n">
        <f aca="false">H52+1.02/(TAN($A$4*(H52+10.3/(H52+5.11)))*60)</f>
        <v>-24.5598120681223</v>
      </c>
      <c r="J52" s="39" t="n">
        <f aca="false">100*(1+COS($A$4*AQ52))/2</f>
        <v>91.4410916620625</v>
      </c>
      <c r="K52" s="48" t="n">
        <f aca="false">IF(AI52&gt;180,AT52-180,AT52+180)</f>
        <v>244.294327692403</v>
      </c>
      <c r="L52" s="10" t="n">
        <f aca="false">L51+1/8</f>
        <v>2459859.75</v>
      </c>
      <c r="M52" s="49" t="n">
        <f aca="false">(L52-2451545)/36525</f>
        <v>0.227645448323066</v>
      </c>
      <c r="N52" s="15" t="n">
        <f aca="false">MOD(280.46061837+360.98564736629*(L52-2451545)+0.000387933*M52^2-M52^3/38710000+$G$4,360)</f>
        <v>105.87207733281</v>
      </c>
      <c r="O52" s="18" t="n">
        <f aca="false">0.60643382+1336.85522467*M52 - 0.00000313*M52^2 - INT(0.60643382+1336.85522467*M52 - 0.00000313*M52^2)</f>
        <v>0.935440620831514</v>
      </c>
      <c r="P52" s="15" t="n">
        <f aca="false">22640*SIN(Q52)-4586*SIN(Q52-2*S52)+2370*SIN(2*S52)+769*SIN(2*Q52)-668*SIN(R52)-412*SIN(2*T52)-212*SIN(2*Q52-2*S52)-206*SIN(Q52+R52-2*S52)+192*SIN(Q52+2*S52)-165*SIN(R52-2*S52)-125*SIN(S52)-110*SIN(Q52+R52)+148*SIN(Q52-R52)-55*SIN(2*T52-2*S52)</f>
        <v>12165.3012253254</v>
      </c>
      <c r="Q52" s="18" t="n">
        <f aca="false">2*PI()*(0.374897+1325.55241*M52 - INT(0.374897+1325.55241*M52))</f>
        <v>0.822278263110563</v>
      </c>
      <c r="R52" s="26" t="n">
        <f aca="false">2*PI()*(0.99312619+99.99735956*M52 - 0.00000044*M52^2 - INT(0.99312619+99.99735956*M52- 0.00000044*M52^2))</f>
        <v>4.75681056868</v>
      </c>
      <c r="S52" s="26" t="n">
        <f aca="false">2*PI()*(0.827361+1236.853086*M52 - INT(0.827361+1236.853086*M52))</f>
        <v>2.45883831589326</v>
      </c>
      <c r="T52" s="26" t="n">
        <f aca="false">2*PI()*(0.259086+1342.227825*M52 - INT(0.259086+1342.227825*M52))</f>
        <v>5.09654904875281</v>
      </c>
      <c r="U52" s="26" t="n">
        <f aca="false">T52+(P52+412*SIN(2*T52)+541*SIN(R52))/206264.8062</f>
        <v>5.15151976660209</v>
      </c>
      <c r="V52" s="26" t="n">
        <f aca="false">T52-2*S52</f>
        <v>0.178872416966287</v>
      </c>
      <c r="W52" s="25" t="n">
        <f aca="false">-526*SIN(V52)+44*SIN(Q52+V52)-31*SIN(-Q52+V52)-23*SIN(R52+V52)+11*SIN(-R52+V52)-25*SIN(-2*Q52+T52)+21*SIN(-Q52+T52)</f>
        <v>-15.9871638711693</v>
      </c>
      <c r="X52" s="26" t="n">
        <f aca="false">2*PI()*(O52+P52/1296000-INT(O52+P52/1296000))</f>
        <v>5.93652580923608</v>
      </c>
      <c r="Y52" s="26" t="n">
        <f aca="false">(18520*SIN(U52)+W52)/206264.8062</f>
        <v>-0.081346103827139</v>
      </c>
      <c r="Z52" s="26" t="n">
        <f aca="false">Y52*180/PI()</f>
        <v>-4.66078842912806</v>
      </c>
      <c r="AA52" s="26" t="n">
        <f aca="false">COS(Y52)*COS(X52)</f>
        <v>0.937402860208869</v>
      </c>
      <c r="AB52" s="26" t="n">
        <f aca="false">COS(Y52)*SIN(X52)</f>
        <v>-0.338634422233072</v>
      </c>
      <c r="AC52" s="26" t="n">
        <f aca="false">SIN(Y52)</f>
        <v>-0.0812564197531807</v>
      </c>
      <c r="AD52" s="26" t="n">
        <f aca="false">COS($A$4*(23.4393-46.815*M52/3600))*AB52-SIN($A$4*(23.4393-46.815*M52/3600))*AC52</f>
        <v>-0.278379839195372</v>
      </c>
      <c r="AE52" s="26" t="n">
        <f aca="false">SIN($A$4*(23.4393-46.815*M52/3600))*AB52+COS($A$4*(23.4393-46.815*M52/3600))*AC52</f>
        <v>-0.209238005156306</v>
      </c>
      <c r="AF52" s="26" t="n">
        <f aca="false">SQRT(1-AE52*AE52)</f>
        <v>0.977864743815938</v>
      </c>
      <c r="AG52" s="10" t="n">
        <f aca="false">ATAN(AE52/AF52)/$A$4</f>
        <v>-12.0777011479213</v>
      </c>
      <c r="AH52" s="26" t="n">
        <f aca="false">IF(24*ATAN(AD52/(AA52+AF52))/PI()&gt;0,24*ATAN(AD52/(AA52+AF52))/PI(),24*ATAN(AD52/(AA52+AF52))/PI()+24)</f>
        <v>22.8973465799062</v>
      </c>
      <c r="AI52" s="10" t="n">
        <f aca="false">IF(N52-15*AH52&gt;0,N52-15*AH52,360+N52-15*AH52)</f>
        <v>122.411878634216</v>
      </c>
      <c r="AJ52" s="18" t="n">
        <f aca="false">0.950724+0.051818*COS(Q52)+0.009531*COS(2*S52-Q52)+0.007843*COS(2*S52)+0.002824*COS(2*Q52)+0.000857*COS(2*S52+Q52)+0.000533*COS(2*S52-R52)+0.000401*COS(2*S52-R52-Q52)+0.00032*COS(Q52-R52)-0.000271*COS(S52)</f>
        <v>0.983427008042001</v>
      </c>
      <c r="AK52" s="50" t="n">
        <f aca="false">ASIN(COS($A$4*$G$2)*COS($A$4*AG52)*COS($A$4*AI52)+SIN($A$4*$G$2)*SIN($A$4*AG52))/$A$4</f>
        <v>-23.6228916953288</v>
      </c>
      <c r="AL52" s="18" t="n">
        <f aca="false">ASIN((0.9983271+0.0016764*COS($A$4*2*$G$2))*COS($A$4*AK52)*SIN($A$4*AJ52))/$A$4</f>
        <v>0.900553289118896</v>
      </c>
      <c r="AM52" s="18" t="n">
        <f aca="false">AK52-AL52</f>
        <v>-24.5234449844476</v>
      </c>
      <c r="AN52" s="10" t="n">
        <f aca="false"> IF(280.4664567 + 360007.6982779*M52/10 + 0.03032028*M52^2/100 + M52^3/49931000&lt;0,MOD(280.4664567 + 360007.6982779*M52/10 + 0.03032028*M52^2/100 + M52^3/49931000+360,360),MOD(280.4664567 + 360007.6982779*M52/10 + 0.03032028*M52^2/100 + M52^3/49931000,360))</f>
        <v>195.877859835724</v>
      </c>
      <c r="AO52" s="27" t="n">
        <f aca="false"> AN52 + (1.9146 - 0.004817*M52 - 0.000014*M52^2)*SIN(R52)+ (0.019993 - 0.000101*M52)*SIN(2*R52)+ 0.00029*SIN(3*R52)</f>
        <v>193.964760317678</v>
      </c>
      <c r="AP52" s="18" t="n">
        <f aca="false">ACOS(COS(X52-$A$4*AO52)*COS(Y52))/$A$4</f>
        <v>145.891414953032</v>
      </c>
      <c r="AQ52" s="25" t="n">
        <f aca="false">180 - AP52 -0.1468*(1-0.0549*SIN(R52))*SIN($A$4*AP52)/(1-0.0167*SIN($A$4*AO52))</f>
        <v>34.0220986698899</v>
      </c>
      <c r="AR52" s="25" t="n">
        <f aca="false">SIN($A$4*AI52)</f>
        <v>0.844216819061542</v>
      </c>
      <c r="AS52" s="25" t="n">
        <f aca="false">COS($A$4*AI52)*SIN($A$4*$G$2) - TAN($A$4*AG52)*COS($A$4*$G$2)</f>
        <v>0.406397058155527</v>
      </c>
      <c r="AT52" s="25" t="n">
        <f aca="false">IF(OR(AND(AR52*AS52&gt;0), AND(AR52&lt;0,AS52&gt;0)), MOD(ATAN2(AS52,AR52)/$A$4+360,360),  ATAN2(AS52,AR52)/$A$4)</f>
        <v>64.2943276924033</v>
      </c>
      <c r="AU52" s="29" t="n">
        <f aca="false">(1+SIN($A$4*H52)*SIN($A$4*AJ52))*120*ASIN(0.272481*SIN($A$4*AJ52))/$A$4</f>
        <v>31.9252964203315</v>
      </c>
      <c r="AV52" s="10" t="n">
        <f aca="false">COS(X52)</f>
        <v>0.940512920344447</v>
      </c>
      <c r="AW52" s="10" t="n">
        <f aca="false">SIN(X52)</f>
        <v>-0.339757923623805</v>
      </c>
      <c r="AX52" s="30" t="n">
        <f aca="false"> 385000.56 + (-20905355*COS(Q52) - 3699111*COS(2*S52-Q52) - 2955968*COS(2*S52) - 569925*COS(2*Q52) + (1-0.002516*M52)*48888*COS(R52) - 3149*COS(2*T52)  +246158*COS(2*S52-2*Q52) -(1-0.002516*M52)*152138*COS(2*S52-R52-Q52) -170733*COS(2*S52+Q52) -(1-0.002516*M52)*204586*COS(2*S52-R52) -(1-0.002516*M52)*129620*COS(R52-Q52)  + 108743*COS(S52) +(1-0.002516*M52)*104755*COS(R52+Q52) +10321*COS(2*S52-2*T52) +79661*COS(Q52-2*T52) -34782*COS(4*S52-Q52) -23210*COS(3*Q52)  -21636*COS(4*S52-2*Q52) +(1-0.002516*M52)*24208*COS(2*S52+R52-Q52) +(1-0.002516*M52)*30824*COS(2*S52+R52) -8379*COS(S52-Q52) -(1-0.002516*M52)*16675*COS(S52+R52)  -(1-0.002516*M52)*12831*COS(2*S52-R52+Q52) -10445*COS(2*S52+2*Q52) -11650*COS(4*S52) +14403*COS(2*S52-3*Q52) -(1-0.002516*M52)*7003*COS(R52-2*Q52)  + (1-0.002516*M52)*10056*COS(2*S52-R52-2*Q52) +6322*COS(S52+Q52) -(1-0.002516*M52)*(1-0.002516*M52)*9884*COS(2*S52-2*R52) +(1-0.002516*M52)*5751*COS(R52+2*Q52) -(1-0.002516*M52)*(1-0.002516*M52)*4950*COS(2*S52-2*R52-Q52)  +4130*COS(2*S52+Q52-2*T52) -(1-0.002516*M52)*3958*COS(4*S52-R52-Q52) +3258*COS(3*S52-Q52) +(1-0.002516*M52)*2616*COS(2*S52+R52+Q52) -(1-0.002516*M52)*1897*COS(4*S52-R52-2*Q52)  -(1-0.002516*M52)*(1-0.002516*M52)*2117*COS(2*R52-Q52) +(1-0.002516*M52)*(1-0.002516*M52)*2354*COS(2*S52+2*R52-Q52) -1423*COS(4*S52+Q52) -1117*COS(4*Q52) -(1-0.002516*M52)*1571*COS(4*S52-R52)  -1739*COS(S52-2*Q52) -4421*COS(2*Q52-2*T52) +(1-0.002516*M52)*(1-0.002516*M52)*1165*COS(2*R52+Q52) +8752*COS(2*S52-Q52-2*T52))/1000</f>
        <v>371660.70513825</v>
      </c>
      <c r="AY52" s="10" t="n">
        <f aca="false">AY51+1/8</f>
        <v>7.25</v>
      </c>
      <c r="AZ52" s="17" t="n">
        <f aca="false">AZ51+1</f>
        <v>51</v>
      </c>
      <c r="BA52" s="32" t="n">
        <f aca="false">ATAN(0.99664719*TAN($A$4*input!$E$2))</f>
        <v>-0.400219206115995</v>
      </c>
      <c r="BB52" s="32" t="n">
        <f aca="false">COS(BA52)</f>
        <v>0.920975608992155</v>
      </c>
      <c r="BC52" s="32" t="n">
        <f aca="false">0.99664719*SIN(BA52)</f>
        <v>-0.388313912533463</v>
      </c>
      <c r="BD52" s="32" t="n">
        <f aca="false">6378.14/AX52</f>
        <v>0.0171611900634679</v>
      </c>
      <c r="BE52" s="33" t="n">
        <f aca="false">MOD(N52-15*AH52,360)</f>
        <v>122.411878634216</v>
      </c>
      <c r="BF52" s="27" t="n">
        <f aca="false">COS($A$4*AG52)*SIN($A$4*BE52)</f>
        <v>0.825529863496721</v>
      </c>
      <c r="BG52" s="27" t="n">
        <f aca="false">COS($A$4*AG52)*COS($A$4*BE52)-BB52*BD52</f>
        <v>-0.539942330240715</v>
      </c>
      <c r="BH52" s="27" t="n">
        <f aca="false">SIN($A$4*AG52)-BC52*BD52</f>
        <v>-0.20257407629903</v>
      </c>
      <c r="BI52" s="46" t="n">
        <f aca="false">SQRT(BF52^2+BG52^2+BH52^2)</f>
        <v>1.00701218061109</v>
      </c>
      <c r="BJ52" s="35" t="n">
        <f aca="false">AX52*BI52</f>
        <v>374266.857128723</v>
      </c>
    </row>
    <row r="53" customFormat="false" ht="15" hidden="false" customHeight="false" outlineLevel="0" collapsed="false">
      <c r="A53" s="0"/>
      <c r="B53" s="20"/>
      <c r="C53" s="15" t="n">
        <f aca="false">MOD(C52+3,24)</f>
        <v>9</v>
      </c>
      <c r="D53" s="105" t="n">
        <v>7</v>
      </c>
      <c r="E53" s="102" t="n">
        <f aca="false">input!$C$2</f>
        <v>10</v>
      </c>
      <c r="F53" s="102" t="n">
        <f aca="false">input!$D$2</f>
        <v>2022</v>
      </c>
      <c r="H53" s="39" t="n">
        <f aca="false">AM53</f>
        <v>-53.5868721904076</v>
      </c>
      <c r="I53" s="48" t="n">
        <f aca="false">H53+1.02/(TAN($A$4*(H53+10.3/(H53+5.11)))*60)</f>
        <v>-53.599314608162</v>
      </c>
      <c r="J53" s="39" t="n">
        <f aca="false">100*(1+COS($A$4*AQ53))/2</f>
        <v>92.2207753822077</v>
      </c>
      <c r="K53" s="48" t="n">
        <f aca="false">IF(AI53&gt;180,AT53-180,AT53+180)</f>
        <v>203.377353768186</v>
      </c>
      <c r="L53" s="10" t="n">
        <f aca="false">L52+1/8</f>
        <v>2459859.875</v>
      </c>
      <c r="M53" s="49" t="n">
        <f aca="false">(L53-2451545)/36525</f>
        <v>0.22764887063655</v>
      </c>
      <c r="N53" s="15" t="n">
        <f aca="false">MOD(280.46061837+360.98564736629*(L53-2451545)+0.000387933*M53^2-M53^3/38710000+$G$4,360)</f>
        <v>150.995283254422</v>
      </c>
      <c r="O53" s="18" t="n">
        <f aca="false">0.60643382+1336.85522467*M53 - 0.00000313*M53^2 - INT(0.60643382+1336.85522467*M53 - 0.00000313*M53^2)</f>
        <v>0.94001575848813</v>
      </c>
      <c r="P53" s="15" t="n">
        <f aca="false">22640*SIN(Q53)-4586*SIN(Q53-2*S53)+2370*SIN(2*S53)+769*SIN(2*Q53)-668*SIN(R53)-412*SIN(2*T53)-212*SIN(2*Q53-2*S53)-206*SIN(Q53+R53-2*S53)+192*SIN(Q53+2*S53)-165*SIN(R53-2*S53)-125*SIN(S53)-110*SIN(Q53+R53)+148*SIN(Q53-R53)-55*SIN(2*T53-2*S53)</f>
        <v>12597.9703237867</v>
      </c>
      <c r="Q53" s="18" t="n">
        <f aca="false">2*PI()*(0.374897+1325.55241*M53 - INT(0.374897+1325.55241*M53))</f>
        <v>0.850781656082719</v>
      </c>
      <c r="R53" s="26" t="n">
        <f aca="false">2*PI()*(0.99312619+99.99735956*M53 - 0.00000044*M53^2 - INT(0.99312619+99.99735956*M53- 0.00000044*M53^2))</f>
        <v>4.75896081487813</v>
      </c>
      <c r="S53" s="26" t="n">
        <f aca="false">2*PI()*(0.827361+1236.853086*M53 - INT(0.827361+1236.853086*M53))</f>
        <v>2.48543440465854</v>
      </c>
      <c r="T53" s="26" t="n">
        <f aca="false">2*PI()*(0.259086+1342.227825*M53 - INT(0.259086+1342.227825*M53))</f>
        <v>5.12541101367057</v>
      </c>
      <c r="U53" s="26" t="n">
        <f aca="false">T53+(P53+412*SIN(2*T53)+541*SIN(R53))/206264.8062</f>
        <v>5.18239907540143</v>
      </c>
      <c r="V53" s="26" t="n">
        <f aca="false">T53-2*S53</f>
        <v>0.154542204353486</v>
      </c>
      <c r="W53" s="25" t="n">
        <f aca="false">-526*SIN(V53)+44*SIN(Q53+V53)-31*SIN(-Q53+V53)-23*SIN(R53+V53)+11*SIN(-R53+V53)-25*SIN(-2*Q53+T53)+21*SIN(-Q53+T53)</f>
        <v>-2.51815223947625</v>
      </c>
      <c r="X53" s="26" t="n">
        <f aca="false">2*PI()*(O53+P53/1296000-INT(O53+P53/1296000))</f>
        <v>5.96736988592173</v>
      </c>
      <c r="Y53" s="26" t="n">
        <f aca="false">(18520*SIN(U53)+W53)/206264.8062</f>
        <v>-0.0800634799582551</v>
      </c>
      <c r="Z53" s="26" t="n">
        <f aca="false">Y53*180/PI()</f>
        <v>-4.58729949473827</v>
      </c>
      <c r="AA53" s="26" t="n">
        <f aca="false">COS(Y53)*COS(X53)</f>
        <v>0.947498490841897</v>
      </c>
      <c r="AB53" s="26" t="n">
        <f aca="false">COS(Y53)*SIN(X53)</f>
        <v>-0.309596728097744</v>
      </c>
      <c r="AC53" s="26" t="n">
        <f aca="false">SIN(Y53)</f>
        <v>-0.0799779707388185</v>
      </c>
      <c r="AD53" s="26" t="n">
        <f aca="false">COS($A$4*(23.4393-46.815*M53/3600))*AB53-SIN($A$4*(23.4393-46.815*M53/3600))*AC53</f>
        <v>-0.252246158283708</v>
      </c>
      <c r="AE53" s="26" t="n">
        <f aca="false">SIN($A$4*(23.4393-46.815*M53/3600))*AB53+COS($A$4*(23.4393-46.815*M53/3600))*AC53</f>
        <v>-0.19651586572956</v>
      </c>
      <c r="AF53" s="26" t="n">
        <f aca="false">SQRT(1-AE53*AE53)</f>
        <v>0.980500644832303</v>
      </c>
      <c r="AG53" s="10" t="n">
        <f aca="false">ATAN(AE53/AF53)/$A$4</f>
        <v>-11.3332898690158</v>
      </c>
      <c r="AH53" s="26" t="n">
        <f aca="false">IF(24*ATAN(AD53/(AA53+AF53))/PI()&gt;0,24*ATAN(AD53/(AA53+AF53))/PI(),24*ATAN(AD53/(AA53+AF53))/PI()+24)</f>
        <v>23.0061535274191</v>
      </c>
      <c r="AI53" s="10" t="n">
        <f aca="false">IF(N53-15*AH53&gt;0,N53-15*AH53,360+N53-15*AH53)</f>
        <v>165.902980343135</v>
      </c>
      <c r="AJ53" s="18" t="n">
        <f aca="false">0.950724+0.051818*COS(Q53)+0.009531*COS(2*S53-Q53)+0.007843*COS(2*S53)+0.002824*COS(2*Q53)+0.000857*COS(2*S53+Q53)+0.000533*COS(2*S53-R53)+0.000401*COS(2*S53-R53-Q53)+0.00032*COS(Q53-R53)-0.000271*COS(S53)</f>
        <v>0.982802751659194</v>
      </c>
      <c r="AK53" s="50" t="n">
        <f aca="false">ASIN(COS($A$4*$G$2)*COS($A$4*AG53)*COS($A$4*AI53)+SIN($A$4*$G$2)*SIN($A$4*AG53))/$A$4</f>
        <v>-52.9956665849402</v>
      </c>
      <c r="AL53" s="18" t="n">
        <f aca="false">ASIN((0.9983271+0.0016764*COS($A$4*2*$G$2))*COS($A$4*AK53)*SIN($A$4*AJ53))/$A$4</f>
        <v>0.591205605467362</v>
      </c>
      <c r="AM53" s="18" t="n">
        <f aca="false">AK53-AL53</f>
        <v>-53.5868721904076</v>
      </c>
      <c r="AN53" s="10" t="n">
        <f aca="false"> IF(280.4664567 + 360007.6982779*M53/10 + 0.03032028*M53^2/100 + M53^3/49931000&lt;0,MOD(280.4664567 + 360007.6982779*M53/10 + 0.03032028*M53^2/100 + M53^3/49931000+360,360),MOD(280.4664567 + 360007.6982779*M53/10 + 0.03032028*M53^2/100 + M53^3/49931000,360))</f>
        <v>196.001065756209</v>
      </c>
      <c r="AO53" s="27" t="n">
        <f aca="false"> AN53 + (1.9146 - 0.004817*M53 - 0.000014*M53^2)*SIN(R53)+ (0.019993 - 0.000101*M53)*SIN(2*R53)+ 0.00029*SIN(3*R53)</f>
        <v>194.088067606331</v>
      </c>
      <c r="AP53" s="18" t="n">
        <f aca="false">ACOS(COS(X53-$A$4*AO53)*COS(Y53))/$A$4</f>
        <v>147.526562331711</v>
      </c>
      <c r="AQ53" s="25" t="n">
        <f aca="false">180 - AP53 -0.1468*(1-0.0549*SIN(R53))*SIN($A$4*AP53)/(1-0.0167*SIN($A$4*AO53))</f>
        <v>32.3906336645171</v>
      </c>
      <c r="AR53" s="25" t="n">
        <f aca="false">SIN($A$4*AI53)</f>
        <v>0.24356456181729</v>
      </c>
      <c r="AS53" s="25" t="n">
        <f aca="false">COS($A$4*AI53)*SIN($A$4*$G$2) - TAN($A$4*AG53)*COS($A$4*$G$2)</f>
        <v>0.563455406846583</v>
      </c>
      <c r="AT53" s="25" t="n">
        <f aca="false">IF(OR(AND(AR53*AS53&gt;0), AND(AR53&lt;0,AS53&gt;0)), MOD(ATAN2(AS53,AR53)/$A$4+360,360),  ATAN2(AS53,AR53)/$A$4)</f>
        <v>23.3773537681863</v>
      </c>
      <c r="AU53" s="29" t="n">
        <f aca="false">(1+SIN($A$4*H53)*SIN($A$4*AJ53))*120*ASIN(0.272481*SIN($A$4*AJ53))/$A$4</f>
        <v>31.6903909650219</v>
      </c>
      <c r="AV53" s="10" t="n">
        <f aca="false">COS(X53)</f>
        <v>0.950543431907515</v>
      </c>
      <c r="AW53" s="10" t="n">
        <f aca="false">SIN(X53)</f>
        <v>-0.310591667720633</v>
      </c>
      <c r="AX53" s="30" t="n">
        <f aca="false"> 385000.56 + (-20905355*COS(Q53) - 3699111*COS(2*S53-Q53) - 2955968*COS(2*S53) - 569925*COS(2*Q53) + (1-0.002516*M53)*48888*COS(R53) - 3149*COS(2*T53)  +246158*COS(2*S53-2*Q53) -(1-0.002516*M53)*152138*COS(2*S53-R53-Q53) -170733*COS(2*S53+Q53) -(1-0.002516*M53)*204586*COS(2*S53-R53) -(1-0.002516*M53)*129620*COS(R53-Q53)  + 108743*COS(S53) +(1-0.002516*M53)*104755*COS(R53+Q53) +10321*COS(2*S53-2*T53) +79661*COS(Q53-2*T53) -34782*COS(4*S53-Q53) -23210*COS(3*Q53)  -21636*COS(4*S53-2*Q53) +(1-0.002516*M53)*24208*COS(2*S53+R53-Q53) +(1-0.002516*M53)*30824*COS(2*S53+R53) -8379*COS(S53-Q53) -(1-0.002516*M53)*16675*COS(S53+R53)  -(1-0.002516*M53)*12831*COS(2*S53-R53+Q53) -10445*COS(2*S53+2*Q53) -11650*COS(4*S53) +14403*COS(2*S53-3*Q53) -(1-0.002516*M53)*7003*COS(R53-2*Q53)  + (1-0.002516*M53)*10056*COS(2*S53-R53-2*Q53) +6322*COS(S53+Q53) -(1-0.002516*M53)*(1-0.002516*M53)*9884*COS(2*S53-2*R53) +(1-0.002516*M53)*5751*COS(R53+2*Q53) -(1-0.002516*M53)*(1-0.002516*M53)*4950*COS(2*S53-2*R53-Q53)  +4130*COS(2*S53+Q53-2*T53) -(1-0.002516*M53)*3958*COS(4*S53-R53-Q53) +3258*COS(3*S53-Q53) +(1-0.002516*M53)*2616*COS(2*S53+R53+Q53) -(1-0.002516*M53)*1897*COS(4*S53-R53-2*Q53)  -(1-0.002516*M53)*(1-0.002516*M53)*2117*COS(2*R53-Q53) +(1-0.002516*M53)*(1-0.002516*M53)*2354*COS(2*S53+2*R53-Q53) -1423*COS(4*S53+Q53) -1117*COS(4*Q53) -(1-0.002516*M53)*1571*COS(4*S53-R53)  -1739*COS(S53-2*Q53) -4421*COS(2*Q53-2*T53) +(1-0.002516*M53)*(1-0.002516*M53)*1165*COS(2*R53+Q53) +8752*COS(2*S53-Q53-2*T53))/1000</f>
        <v>371907.25793361</v>
      </c>
      <c r="AY53" s="10" t="n">
        <f aca="false">AY52+1/8</f>
        <v>7.375</v>
      </c>
      <c r="AZ53" s="17" t="n">
        <f aca="false">AZ52+1</f>
        <v>52</v>
      </c>
      <c r="BA53" s="32" t="n">
        <f aca="false">ATAN(0.99664719*TAN($A$4*input!$E$2))</f>
        <v>-0.400219206115995</v>
      </c>
      <c r="BB53" s="32" t="n">
        <f aca="false">COS(BA53)</f>
        <v>0.920975608992155</v>
      </c>
      <c r="BC53" s="32" t="n">
        <f aca="false">0.99664719*SIN(BA53)</f>
        <v>-0.388313912533463</v>
      </c>
      <c r="BD53" s="32" t="n">
        <f aca="false">6378.14/AX53</f>
        <v>0.0171498131965431</v>
      </c>
      <c r="BE53" s="33" t="n">
        <f aca="false">MOD(N53-15*AH53,360)</f>
        <v>165.902980343135</v>
      </c>
      <c r="BF53" s="27" t="n">
        <f aca="false">COS($A$4*AG53)*SIN($A$4*BE53)</f>
        <v>0.23881520992015</v>
      </c>
      <c r="BG53" s="27" t="n">
        <f aca="false">COS($A$4*AG53)*COS($A$4*BE53)-BB53*BD53</f>
        <v>-0.966767119733969</v>
      </c>
      <c r="BH53" s="27" t="n">
        <f aca="false">SIN($A$4*AG53)-BC53*BD53</f>
        <v>-0.189856354667992</v>
      </c>
      <c r="BI53" s="46" t="n">
        <f aca="false">SQRT(BF53^2+BG53^2+BH53^2)</f>
        <v>1.01376368237166</v>
      </c>
      <c r="BJ53" s="35" t="n">
        <f aca="false">AX53*BI53</f>
        <v>377026.071303522</v>
      </c>
    </row>
    <row r="54" customFormat="false" ht="15" hidden="false" customHeight="false" outlineLevel="0" collapsed="false">
      <c r="A54" s="0"/>
      <c r="B54" s="20"/>
      <c r="C54" s="15" t="n">
        <f aca="false">MOD(C53+3,24)</f>
        <v>12</v>
      </c>
      <c r="D54" s="105" t="n">
        <v>7</v>
      </c>
      <c r="E54" s="102" t="n">
        <f aca="false">input!$C$2</f>
        <v>10</v>
      </c>
      <c r="F54" s="102" t="n">
        <f aca="false">input!$D$2</f>
        <v>2022</v>
      </c>
      <c r="H54" s="39" t="n">
        <f aca="false">AM54</f>
        <v>-46.4543515101069</v>
      </c>
      <c r="I54" s="48" t="n">
        <f aca="false">H54+1.02/(TAN($A$4*(H54+10.3/(H54+5.11)))*60)</f>
        <v>-46.4703695511045</v>
      </c>
      <c r="J54" s="39" t="n">
        <f aca="false">100*(1+COS($A$4*AQ54))/2</f>
        <v>92.9651811413122</v>
      </c>
      <c r="K54" s="48" t="n">
        <f aca="false">IF(AI54&gt;180,AT54-180,AT54+180)</f>
        <v>136.220413673973</v>
      </c>
      <c r="L54" s="10" t="n">
        <f aca="false">L53+1/8</f>
        <v>2459860</v>
      </c>
      <c r="M54" s="49" t="n">
        <f aca="false">(L54-2451545)/36525</f>
        <v>0.227652292950034</v>
      </c>
      <c r="N54" s="15" t="n">
        <f aca="false">MOD(280.46061837+360.98564736629*(L54-2451545)+0.000387933*M54^2-M54^3/38710000+$G$4,360)</f>
        <v>196.118489176035</v>
      </c>
      <c r="O54" s="18" t="n">
        <f aca="false">0.60643382+1336.85522467*M54 - 0.00000313*M54^2 - INT(0.60643382+1336.85522467*M54 - 0.00000313*M54^2)</f>
        <v>0.944590896144689</v>
      </c>
      <c r="P54" s="15" t="n">
        <f aca="false">22640*SIN(Q54)-4586*SIN(Q54-2*S54)+2370*SIN(2*S54)+769*SIN(2*Q54)-668*SIN(R54)-412*SIN(2*T54)-212*SIN(2*Q54-2*S54)-206*SIN(Q54+R54-2*S54)+192*SIN(Q54+2*S54)-165*SIN(R54-2*S54)-125*SIN(S54)-110*SIN(Q54+R54)+148*SIN(Q54-R54)-55*SIN(2*T54-2*S54)</f>
        <v>13022.5832162949</v>
      </c>
      <c r="Q54" s="18" t="n">
        <f aca="false">2*PI()*(0.374897+1325.55241*M54 - INT(0.374897+1325.55241*M54))</f>
        <v>0.879285049054518</v>
      </c>
      <c r="R54" s="26" t="n">
        <f aca="false">2*PI()*(0.99312619+99.99735956*M54 - 0.00000044*M54^2 - INT(0.99312619+99.99735956*M54- 0.00000044*M54^2))</f>
        <v>4.76111106107621</v>
      </c>
      <c r="S54" s="26" t="n">
        <f aca="false">2*PI()*(0.827361+1236.853086*M54 - INT(0.827361+1236.853086*M54))</f>
        <v>2.51203049342311</v>
      </c>
      <c r="T54" s="26" t="n">
        <f aca="false">2*PI()*(0.259086+1342.227825*M54 - INT(0.259086+1342.227825*M54))</f>
        <v>5.15427297858797</v>
      </c>
      <c r="U54" s="26" t="n">
        <f aca="false">T54+(P54+412*SIN(2*T54)+541*SIN(R54))/206264.8062</f>
        <v>5.21324423089785</v>
      </c>
      <c r="V54" s="26" t="n">
        <f aca="false">T54-2*S54</f>
        <v>0.130211991741757</v>
      </c>
      <c r="W54" s="25" t="n">
        <f aca="false">-526*SIN(V54)+44*SIN(Q54+V54)-31*SIN(-Q54+V54)-23*SIN(R54+V54)+11*SIN(-R54+V54)-25*SIN(-2*Q54+T54)+21*SIN(-Q54+T54)</f>
        <v>10.918387455676</v>
      </c>
      <c r="X54" s="26" t="n">
        <f aca="false">2*PI()*(O54+P54/1296000-INT(O54+P54/1296000))</f>
        <v>5.99817490501838</v>
      </c>
      <c r="Y54" s="26" t="n">
        <f aca="false">(18520*SIN(U54)+W54)/206264.8062</f>
        <v>-0.0787061606812112</v>
      </c>
      <c r="Z54" s="26" t="n">
        <f aca="false">Y54*180/PI()</f>
        <v>-4.50953082871191</v>
      </c>
      <c r="AA54" s="26" t="n">
        <f aca="false">COS(Y54)*COS(X54)</f>
        <v>0.956687882412325</v>
      </c>
      <c r="AB54" s="26" t="n">
        <f aca="false">COS(Y54)*SIN(X54)</f>
        <v>-0.280297015013771</v>
      </c>
      <c r="AC54" s="26" t="n">
        <f aca="false">SIN(Y54)</f>
        <v>-0.0786249261989576</v>
      </c>
      <c r="AD54" s="26" t="n">
        <f aca="false">COS($A$4*(23.4393-46.815*M54/3600))*AB54-SIN($A$4*(23.4393-46.815*M54/3600))*AC54</f>
        <v>-0.225901743168543</v>
      </c>
      <c r="AE54" s="26" t="n">
        <f aca="false">SIN($A$4*(23.4393-46.815*M54/3600))*AB54+COS($A$4*(23.4393-46.815*M54/3600))*AC54</f>
        <v>-0.183621071990214</v>
      </c>
      <c r="AF54" s="26" t="n">
        <f aca="false">SQRT(1-AE54*AE54)</f>
        <v>0.982997101685028</v>
      </c>
      <c r="AG54" s="10" t="n">
        <f aca="false">ATAN(AE54/AF54)/$A$4</f>
        <v>-10.5807485033914</v>
      </c>
      <c r="AH54" s="26" t="n">
        <f aca="false">IF(24*ATAN(AD54/(AA54+AF54))/PI()&gt;0,24*ATAN(AD54/(AA54+AF54))/PI(),24*ATAN(AD54/(AA54+AF54))/PI()+24)</f>
        <v>23.1142775493758</v>
      </c>
      <c r="AI54" s="10" t="n">
        <f aca="false">IF(N54-15*AH54&gt;0,N54-15*AH54,360+N54-15*AH54)</f>
        <v>209.404325935398</v>
      </c>
      <c r="AJ54" s="18" t="n">
        <f aca="false">0.950724+0.051818*COS(Q54)+0.009531*COS(2*S54-Q54)+0.007843*COS(2*S54)+0.002824*COS(2*Q54)+0.000857*COS(2*S54+Q54)+0.000533*COS(2*S54-R54)+0.000401*COS(2*S54-R54-Q54)+0.00032*COS(Q54-R54)-0.000271*COS(S54)</f>
        <v>0.982142874609008</v>
      </c>
      <c r="AK54" s="50" t="n">
        <f aca="false">ASIN(COS($A$4*$G$2)*COS($A$4*AG54)*COS($A$4*AI54)+SIN($A$4*$G$2)*SIN($A$4*AG54))/$A$4</f>
        <v>-45.7696281444042</v>
      </c>
      <c r="AL54" s="18" t="n">
        <f aca="false">ASIN((0.9983271+0.0016764*COS($A$4*2*$G$2))*COS($A$4*AK54)*SIN($A$4*AJ54))/$A$4</f>
        <v>0.684723365702701</v>
      </c>
      <c r="AM54" s="18" t="n">
        <f aca="false">AK54-AL54</f>
        <v>-46.4543515101069</v>
      </c>
      <c r="AN54" s="10" t="n">
        <f aca="false"> IF(280.4664567 + 360007.6982779*M54/10 + 0.03032028*M54^2/100 + M54^3/49931000&lt;0,MOD(280.4664567 + 360007.6982779*M54/10 + 0.03032028*M54^2/100 + M54^3/49931000+360,360),MOD(280.4664567 + 360007.6982779*M54/10 + 0.03032028*M54^2/100 + M54^3/49931000,360))</f>
        <v>196.124271676696</v>
      </c>
      <c r="AO54" s="27" t="n">
        <f aca="false"> AN54 + (1.9146 - 0.004817*M54 - 0.000014*M54^2)*SIN(R54)+ (0.019993 - 0.000101*M54)*SIN(2*R54)+ 0.00029*SIN(3*R54)</f>
        <v>194.211383754982</v>
      </c>
      <c r="AP54" s="18" t="n">
        <f aca="false">ACOS(COS(X54-$A$4*AO54)*COS(Y54))/$A$4</f>
        <v>149.159423634868</v>
      </c>
      <c r="AQ54" s="25" t="n">
        <f aca="false">180 - AP54 -0.1468*(1-0.0549*SIN(R54))*SIN($A$4*AP54)/(1-0.0167*SIN($A$4*AO54))</f>
        <v>30.7615166090918</v>
      </c>
      <c r="AR54" s="25" t="n">
        <f aca="false">SIN($A$4*AI54)</f>
        <v>-0.490969530440666</v>
      </c>
      <c r="AS54" s="25" t="n">
        <f aca="false">COS($A$4*AI54)*SIN($A$4*$G$2) - TAN($A$4*AG54)*COS($A$4*$G$2)</f>
        <v>0.512343569670532</v>
      </c>
      <c r="AT54" s="25" t="n">
        <f aca="false">IF(OR(AND(AR54*AS54&gt;0), AND(AR54&lt;0,AS54&gt;0)), MOD(ATAN2(AS54,AR54)/$A$4+360,360),  ATAN2(AS54,AR54)/$A$4)</f>
        <v>316.220413673973</v>
      </c>
      <c r="AU54" s="29" t="n">
        <f aca="false">(1+SIN($A$4*H54)*SIN($A$4*AJ54))*120*ASIN(0.272481*SIN($A$4*AJ54))/$A$4</f>
        <v>31.7134099385457</v>
      </c>
      <c r="AV54" s="10" t="n">
        <f aca="false">COS(X54)</f>
        <v>0.959658727960348</v>
      </c>
      <c r="AW54" s="10" t="n">
        <f aca="false">SIN(X54)</f>
        <v>-0.281167433835297</v>
      </c>
      <c r="AX54" s="30" t="n">
        <f aca="false"> 385000.56 + (-20905355*COS(Q54) - 3699111*COS(2*S54-Q54) - 2955968*COS(2*S54) - 569925*COS(2*Q54) + (1-0.002516*M54)*48888*COS(R54) - 3149*COS(2*T54)  +246158*COS(2*S54-2*Q54) -(1-0.002516*M54)*152138*COS(2*S54-R54-Q54) -170733*COS(2*S54+Q54) -(1-0.002516*M54)*204586*COS(2*S54-R54) -(1-0.002516*M54)*129620*COS(R54-Q54)  + 108743*COS(S54) +(1-0.002516*M54)*104755*COS(R54+Q54) +10321*COS(2*S54-2*T54) +79661*COS(Q54-2*T54) -34782*COS(4*S54-Q54) -23210*COS(3*Q54)  -21636*COS(4*S54-2*Q54) +(1-0.002516*M54)*24208*COS(2*S54+R54-Q54) +(1-0.002516*M54)*30824*COS(2*S54+R54) -8379*COS(S54-Q54) -(1-0.002516*M54)*16675*COS(S54+R54)  -(1-0.002516*M54)*12831*COS(2*S54-R54+Q54) -10445*COS(2*S54+2*Q54) -11650*COS(4*S54) +14403*COS(2*S54-3*Q54) -(1-0.002516*M54)*7003*COS(R54-2*Q54)  + (1-0.002516*M54)*10056*COS(2*S54-R54-2*Q54) +6322*COS(S54+Q54) -(1-0.002516*M54)*(1-0.002516*M54)*9884*COS(2*S54-2*R54) +(1-0.002516*M54)*5751*COS(R54+2*Q54) -(1-0.002516*M54)*(1-0.002516*M54)*4950*COS(2*S54-2*R54-Q54)  +4130*COS(2*S54+Q54-2*T54) -(1-0.002516*M54)*3958*COS(4*S54-R54-Q54) +3258*COS(3*S54-Q54) +(1-0.002516*M54)*2616*COS(2*S54+R54+Q54) -(1-0.002516*M54)*1897*COS(4*S54-R54-2*Q54)  -(1-0.002516*M54)*(1-0.002516*M54)*2117*COS(2*R54-Q54) +(1-0.002516*M54)*(1-0.002516*M54)*2354*COS(2*S54+2*R54-Q54) -1423*COS(4*S54+Q54) -1117*COS(4*Q54) -(1-0.002516*M54)*1571*COS(4*S54-R54)  -1739*COS(S54-2*Q54) -4421*COS(2*Q54-2*T54) +(1-0.002516*M54)*(1-0.002516*M54)*1165*COS(2*R54+Q54) +8752*COS(2*S54-Q54-2*T54))/1000</f>
        <v>372166.980742702</v>
      </c>
      <c r="AY54" s="10" t="n">
        <f aca="false">AY53+1/8</f>
        <v>7.5</v>
      </c>
      <c r="AZ54" s="17" t="n">
        <f aca="false">AZ53+1</f>
        <v>53</v>
      </c>
      <c r="BA54" s="32" t="n">
        <f aca="false">ATAN(0.99664719*TAN($A$4*input!$E$2))</f>
        <v>-0.400219206115995</v>
      </c>
      <c r="BB54" s="32" t="n">
        <f aca="false">COS(BA54)</f>
        <v>0.920975608992155</v>
      </c>
      <c r="BC54" s="32" t="n">
        <f aca="false">0.99664719*SIN(BA54)</f>
        <v>-0.388313912533463</v>
      </c>
      <c r="BD54" s="32" t="n">
        <f aca="false">6378.14/AX54</f>
        <v>0.0171378449191589</v>
      </c>
      <c r="BE54" s="33" t="n">
        <f aca="false">MOD(N54-15*AH54,360)</f>
        <v>209.404325935398</v>
      </c>
      <c r="BF54" s="27" t="n">
        <f aca="false">COS($A$4*AG54)*SIN($A$4*BE54)</f>
        <v>-0.482621625438834</v>
      </c>
      <c r="BG54" s="27" t="n">
        <f aca="false">COS($A$4*AG54)*COS($A$4*BE54)-BB54*BD54</f>
        <v>-0.872147752072124</v>
      </c>
      <c r="BH54" s="27" t="n">
        <f aca="false">SIN($A$4*AG54)-BC54*BD54</f>
        <v>-0.176966208377263</v>
      </c>
      <c r="BI54" s="46" t="n">
        <f aca="false">SQRT(BF54^2+BG54^2+BH54^2)</f>
        <v>1.0123647434068</v>
      </c>
      <c r="BJ54" s="35" t="n">
        <f aca="false">AX54*BI54</f>
        <v>376768.729964067</v>
      </c>
    </row>
    <row r="55" customFormat="false" ht="15" hidden="false" customHeight="false" outlineLevel="0" collapsed="false">
      <c r="A55" s="0"/>
      <c r="B55" s="20"/>
      <c r="C55" s="15" t="n">
        <f aca="false">MOD(C54+3,24)</f>
        <v>15</v>
      </c>
      <c r="D55" s="105" t="n">
        <v>7</v>
      </c>
      <c r="E55" s="102" t="n">
        <f aca="false">input!$C$2</f>
        <v>10</v>
      </c>
      <c r="F55" s="102" t="n">
        <f aca="false">input!$D$2</f>
        <v>2022</v>
      </c>
      <c r="H55" s="39" t="n">
        <f aca="false">AM55</f>
        <v>-12.4875308727342</v>
      </c>
      <c r="I55" s="48" t="n">
        <f aca="false">H55+1.02/(TAN($A$4*(H55+10.3/(H55+5.11)))*60)</f>
        <v>-12.5563087825208</v>
      </c>
      <c r="J55" s="39" t="n">
        <f aca="false">100*(1+COS($A$4*AQ55))/2</f>
        <v>93.6737682990394</v>
      </c>
      <c r="K55" s="48" t="n">
        <f aca="false">IF(AI55&gt;180,AT55-180,AT55+180)</f>
        <v>106.00226298993</v>
      </c>
      <c r="L55" s="10" t="n">
        <f aca="false">L54+1/8</f>
        <v>2459860.125</v>
      </c>
      <c r="M55" s="49" t="n">
        <f aca="false">(L55-2451545)/36525</f>
        <v>0.227655715263518</v>
      </c>
      <c r="N55" s="15" t="n">
        <f aca="false">MOD(280.46061837+360.98564736629*(L55-2451545)+0.000387933*M55^2-M55^3/38710000+$G$4,360)</f>
        <v>241.241695097182</v>
      </c>
      <c r="O55" s="18" t="n">
        <f aca="false">0.60643382+1336.85522467*M55 - 0.00000313*M55^2 - INT(0.60643382+1336.85522467*M55 - 0.00000313*M55^2)</f>
        <v>0.949166033801191</v>
      </c>
      <c r="P55" s="15" t="n">
        <f aca="false">22640*SIN(Q55)-4586*SIN(Q55-2*S55)+2370*SIN(2*S55)+769*SIN(2*Q55)-668*SIN(R55)-412*SIN(2*T55)-212*SIN(2*Q55-2*S55)-206*SIN(Q55+R55-2*S55)+192*SIN(Q55+2*S55)-165*SIN(R55-2*S55)-125*SIN(S55)-110*SIN(Q55+R55)+148*SIN(Q55-R55)-55*SIN(2*T55-2*S55)</f>
        <v>13438.5919014419</v>
      </c>
      <c r="Q55" s="18" t="n">
        <f aca="false">2*PI()*(0.374897+1325.55241*M55 - INT(0.374897+1325.55241*M55))</f>
        <v>0.907788442026673</v>
      </c>
      <c r="R55" s="26" t="n">
        <f aca="false">2*PI()*(0.99312619+99.99735956*M55 - 0.00000044*M55^2 - INT(0.99312619+99.99735956*M55- 0.00000044*M55^2))</f>
        <v>4.76326130727431</v>
      </c>
      <c r="S55" s="26" t="n">
        <f aca="false">2*PI()*(0.827361+1236.853086*M55 - INT(0.827361+1236.853086*M55))</f>
        <v>2.53862658218803</v>
      </c>
      <c r="T55" s="26" t="n">
        <f aca="false">2*PI()*(0.259086+1342.227825*M55 - INT(0.259086+1342.227825*M55))</f>
        <v>5.18313494350573</v>
      </c>
      <c r="U55" s="26" t="n">
        <f aca="false">T55+(P55+412*SIN(2*T55)+541*SIN(R55))/206264.8062</f>
        <v>5.24405282833622</v>
      </c>
      <c r="V55" s="26" t="n">
        <f aca="false">T55-2*S55</f>
        <v>0.105881779129672</v>
      </c>
      <c r="W55" s="25" t="n">
        <f aca="false">-526*SIN(V55)+44*SIN(Q55+V55)-31*SIN(-Q55+V55)-23*SIN(R55+V55)+11*SIN(-R55+V55)-25*SIN(-2*Q55+T55)+21*SIN(-Q55+T55)</f>
        <v>24.3119977397244</v>
      </c>
      <c r="X55" s="26" t="n">
        <f aca="false">2*PI()*(O55+P55/1296000-INT(O55+P55/1296000))</f>
        <v>6.02893820974024</v>
      </c>
      <c r="Y55" s="26" t="n">
        <f aca="false">(18520*SIN(U55)+W55)/206264.8062</f>
        <v>-0.0772757863629222</v>
      </c>
      <c r="Z55" s="26" t="n">
        <f aca="false">Y55*180/PI()</f>
        <v>-4.42757641715004</v>
      </c>
      <c r="AA55" s="26" t="n">
        <f aca="false">COS(Y55)*COS(X55)</f>
        <v>0.964964585646067</v>
      </c>
      <c r="AB55" s="26" t="n">
        <f aca="false">COS(Y55)*SIN(X55)</f>
        <v>-0.250766182507442</v>
      </c>
      <c r="AC55" s="26" t="n">
        <f aca="false">SIN(Y55)</f>
        <v>-0.0771988999893035</v>
      </c>
      <c r="AD55" s="26" t="n">
        <f aca="false">COS($A$4*(23.4393-46.815*M55/3600))*AB55-SIN($A$4*(23.4393-46.815*M55/3600))*AC55</f>
        <v>-0.199374302365057</v>
      </c>
      <c r="AE55" s="26" t="n">
        <f aca="false">SIN($A$4*(23.4393-46.815*M55/3600))*AB55+COS($A$4*(23.4393-46.815*M55/3600))*AC55</f>
        <v>-0.170567394320724</v>
      </c>
      <c r="AF55" s="26" t="n">
        <f aca="false">SQRT(1-AE55*AE55)</f>
        <v>0.985346012319855</v>
      </c>
      <c r="AG55" s="10" t="n">
        <f aca="false">ATAN(AE55/AF55)/$A$4</f>
        <v>-9.82081018998276</v>
      </c>
      <c r="AH55" s="26" t="n">
        <f aca="false">IF(24*ATAN(AD55/(AA55+AF55))/PI()&gt;0,24*ATAN(AD55/(AA55+AF55))/PI(),24*ATAN(AD55/(AA55+AF55))/PI()+24)</f>
        <v>23.2217471255804</v>
      </c>
      <c r="AI55" s="10" t="n">
        <f aca="false">IF(N55-15*AH55&gt;0,N55-15*AH55,360+N55-15*AH55)</f>
        <v>252.915488213476</v>
      </c>
      <c r="AJ55" s="18" t="n">
        <f aca="false">0.950724+0.051818*COS(Q55)+0.009531*COS(2*S55-Q55)+0.007843*COS(2*S55)+0.002824*COS(2*Q55)+0.000857*COS(2*S55+Q55)+0.000533*COS(2*S55-R55)+0.000401*COS(2*S55-R55-Q55)+0.00032*COS(Q55-R55)-0.000271*COS(S55)</f>
        <v>0.981447378387642</v>
      </c>
      <c r="AK55" s="50" t="n">
        <f aca="false">ASIN(COS($A$4*$G$2)*COS($A$4*AG55)*COS($A$4*AI55)+SIN($A$4*$G$2)*SIN($A$4*AG55))/$A$4</f>
        <v>-11.5263672919819</v>
      </c>
      <c r="AL55" s="18" t="n">
        <f aca="false">ASIN((0.9983271+0.0016764*COS($A$4*2*$G$2))*COS($A$4*AK55)*SIN($A$4*AJ55))/$A$4</f>
        <v>0.961163580752278</v>
      </c>
      <c r="AM55" s="18" t="n">
        <f aca="false">AK55-AL55</f>
        <v>-12.4875308727342</v>
      </c>
      <c r="AN55" s="10" t="n">
        <f aca="false"> IF(280.4664567 + 360007.6982779*M55/10 + 0.03032028*M55^2/100 + M55^3/49931000&lt;0,MOD(280.4664567 + 360007.6982779*M55/10 + 0.03032028*M55^2/100 + M55^3/49931000+360,360),MOD(280.4664567 + 360007.6982779*M55/10 + 0.03032028*M55^2/100 + M55^3/49931000,360))</f>
        <v>196.24747759718</v>
      </c>
      <c r="AO55" s="27" t="n">
        <f aca="false"> AN55 + (1.9146 - 0.004817*M55 - 0.000014*M55^2)*SIN(R55)+ (0.019993 - 0.000101*M55)*SIN(2*R55)+ 0.00029*SIN(3*R55)</f>
        <v>194.334708764314</v>
      </c>
      <c r="AP55" s="18" t="n">
        <f aca="false">ACOS(COS(X55-$A$4*AO55)*COS(Y55))/$A$4</f>
        <v>150.789788600965</v>
      </c>
      <c r="AQ55" s="25" t="n">
        <f aca="false">180 - AP55 -0.1468*(1-0.0549*SIN(R55))*SIN($A$4*AP55)/(1-0.0167*SIN($A$4*AO55))</f>
        <v>29.134953947228</v>
      </c>
      <c r="AR55" s="25" t="n">
        <f aca="false">SIN($A$4*AI55)</f>
        <v>-0.955872464950926</v>
      </c>
      <c r="AS55" s="25" t="n">
        <f aca="false">COS($A$4*AI55)*SIN($A$4*$G$2) - TAN($A$4*AG55)*COS($A$4*$G$2)</f>
        <v>0.27413287712015</v>
      </c>
      <c r="AT55" s="25" t="n">
        <f aca="false">IF(OR(AND(AR55*AS55&gt;0), AND(AR55&lt;0,AS55&gt;0)), MOD(ATAN2(AS55,AR55)/$A$4+360,360),  ATAN2(AS55,AR55)/$A$4)</f>
        <v>286.00226298993</v>
      </c>
      <c r="AU55" s="29" t="n">
        <f aca="false">(1+SIN($A$4*H55)*SIN($A$4*AJ55))*120*ASIN(0.272481*SIN($A$4*AJ55))/$A$4</f>
        <v>31.9707890159573</v>
      </c>
      <c r="AV55" s="10" t="n">
        <f aca="false">COS(X55)</f>
        <v>0.967852937618814</v>
      </c>
      <c r="AW55" s="10" t="n">
        <f aca="false">SIN(X55)</f>
        <v>-0.251516781035842</v>
      </c>
      <c r="AX55" s="30" t="n">
        <f aca="false"> 385000.56 + (-20905355*COS(Q55) - 3699111*COS(2*S55-Q55) - 2955968*COS(2*S55) - 569925*COS(2*Q55) + (1-0.002516*M55)*48888*COS(R55) - 3149*COS(2*T55)  +246158*COS(2*S55-2*Q55) -(1-0.002516*M55)*152138*COS(2*S55-R55-Q55) -170733*COS(2*S55+Q55) -(1-0.002516*M55)*204586*COS(2*S55-R55) -(1-0.002516*M55)*129620*COS(R55-Q55)  + 108743*COS(S55) +(1-0.002516*M55)*104755*COS(R55+Q55) +10321*COS(2*S55-2*T55) +79661*COS(Q55-2*T55) -34782*COS(4*S55-Q55) -23210*COS(3*Q55)  -21636*COS(4*S55-2*Q55) +(1-0.002516*M55)*24208*COS(2*S55+R55-Q55) +(1-0.002516*M55)*30824*COS(2*S55+R55) -8379*COS(S55-Q55) -(1-0.002516*M55)*16675*COS(S55+R55)  -(1-0.002516*M55)*12831*COS(2*S55-R55+Q55) -10445*COS(2*S55+2*Q55) -11650*COS(4*S55) +14403*COS(2*S55-3*Q55) -(1-0.002516*M55)*7003*COS(R55-2*Q55)  + (1-0.002516*M55)*10056*COS(2*S55-R55-2*Q55) +6322*COS(S55+Q55) -(1-0.002516*M55)*(1-0.002516*M55)*9884*COS(2*S55-2*R55) +(1-0.002516*M55)*5751*COS(R55+2*Q55) -(1-0.002516*M55)*(1-0.002516*M55)*4950*COS(2*S55-2*R55-Q55)  +4130*COS(2*S55+Q55-2*T55) -(1-0.002516*M55)*3958*COS(4*S55-R55-Q55) +3258*COS(3*S55-Q55) +(1-0.002516*M55)*2616*COS(2*S55+R55+Q55) -(1-0.002516*M55)*1897*COS(4*S55-R55-2*Q55)  -(1-0.002516*M55)*(1-0.002516*M55)*2117*COS(2*R55-Q55) +(1-0.002516*M55)*(1-0.002516*M55)*2354*COS(2*S55+2*R55-Q55) -1423*COS(4*S55+Q55) -1117*COS(4*Q55) -(1-0.002516*M55)*1571*COS(4*S55-R55)  -1739*COS(S55-2*Q55) -4421*COS(2*Q55-2*T55) +(1-0.002516*M55)*(1-0.002516*M55)*1165*COS(2*R55+Q55) +8752*COS(2*S55-Q55-2*T55))/1000</f>
        <v>372439.889081157</v>
      </c>
      <c r="AY55" s="10" t="n">
        <f aca="false">AY54+1/8</f>
        <v>7.625</v>
      </c>
      <c r="AZ55" s="17" t="n">
        <f aca="false">AZ54+1</f>
        <v>54</v>
      </c>
      <c r="BA55" s="32" t="n">
        <f aca="false">ATAN(0.99664719*TAN($A$4*input!$E$2))</f>
        <v>-0.400219206115995</v>
      </c>
      <c r="BB55" s="32" t="n">
        <f aca="false">COS(BA55)</f>
        <v>0.920975608992155</v>
      </c>
      <c r="BC55" s="32" t="n">
        <f aca="false">0.99664719*SIN(BA55)</f>
        <v>-0.388313912533463</v>
      </c>
      <c r="BD55" s="32" t="n">
        <f aca="false">6378.14/AX55</f>
        <v>0.0171252870248014</v>
      </c>
      <c r="BE55" s="33" t="n">
        <f aca="false">MOD(N55-15*AH55,360)</f>
        <v>252.915488213476</v>
      </c>
      <c r="BF55" s="27" t="n">
        <f aca="false">COS($A$4*AG55)*SIN($A$4*BE55)</f>
        <v>-0.941865121625745</v>
      </c>
      <c r="BG55" s="27" t="n">
        <f aca="false">COS($A$4*AG55)*COS($A$4*BE55)-BB55*BD55</f>
        <v>-0.305248838873835</v>
      </c>
      <c r="BH55" s="27" t="n">
        <f aca="false">SIN($A$4*AG55)-BC55*BD55</f>
        <v>-0.163917407112864</v>
      </c>
      <c r="BI55" s="46" t="n">
        <f aca="false">SQRT(BF55^2+BG55^2+BH55^2)</f>
        <v>1.00357146099493</v>
      </c>
      <c r="BJ55" s="35" t="n">
        <f aca="false">AX55*BI55</f>
        <v>373770.043617968</v>
      </c>
    </row>
    <row r="56" customFormat="false" ht="15" hidden="false" customHeight="false" outlineLevel="0" collapsed="false">
      <c r="A56" s="0"/>
      <c r="B56" s="20"/>
      <c r="C56" s="15" t="n">
        <f aca="false">MOD(C55+3,24)</f>
        <v>18</v>
      </c>
      <c r="D56" s="105" t="n">
        <v>7</v>
      </c>
      <c r="E56" s="102" t="n">
        <f aca="false">input!$C$2</f>
        <v>10</v>
      </c>
      <c r="F56" s="102" t="n">
        <f aca="false">input!$D$2</f>
        <v>2022</v>
      </c>
      <c r="H56" s="39" t="n">
        <f aca="false">AM56</f>
        <v>26.9200790027206</v>
      </c>
      <c r="I56" s="48" t="n">
        <f aca="false">H56+1.02/(TAN($A$4*(H56+10.3/(H56+5.11)))*60)</f>
        <v>26.9530983606271</v>
      </c>
      <c r="J56" s="39" t="n">
        <f aca="false">100*(1+COS($A$4*AQ56))/2</f>
        <v>94.346039829516</v>
      </c>
      <c r="K56" s="48" t="n">
        <f aca="false">IF(AI56&gt;180,AT56-180,AT56+180)</f>
        <v>88.2558498245811</v>
      </c>
      <c r="L56" s="10" t="n">
        <f aca="false">L55+1/8</f>
        <v>2459860.25</v>
      </c>
      <c r="M56" s="49" t="n">
        <f aca="false">(L56-2451545)/36525</f>
        <v>0.227659137577002</v>
      </c>
      <c r="N56" s="15" t="n">
        <f aca="false">MOD(280.46061837+360.98564736629*(L56-2451545)+0.000387933*M56^2-M56^3/38710000+$G$4,360)</f>
        <v>286.364901018329</v>
      </c>
      <c r="O56" s="18" t="n">
        <f aca="false">0.60643382+1336.85522467*M56 - 0.00000313*M56^2 - INT(0.60643382+1336.85522467*M56 - 0.00000313*M56^2)</f>
        <v>0.95374117145775</v>
      </c>
      <c r="P56" s="15" t="n">
        <f aca="false">22640*SIN(Q56)-4586*SIN(Q56-2*S56)+2370*SIN(2*S56)+769*SIN(2*Q56)-668*SIN(R56)-412*SIN(2*T56)-212*SIN(2*Q56-2*S56)-206*SIN(Q56+R56-2*S56)+192*SIN(Q56+2*S56)-165*SIN(R56-2*S56)-125*SIN(S56)-110*SIN(Q56+R56)+148*SIN(Q56-R56)-55*SIN(2*T56-2*S56)</f>
        <v>13845.4490713728</v>
      </c>
      <c r="Q56" s="18" t="n">
        <f aca="false">2*PI()*(0.374897+1325.55241*M56 - INT(0.374897+1325.55241*M56))</f>
        <v>0.936291834998472</v>
      </c>
      <c r="R56" s="26" t="n">
        <f aca="false">2*PI()*(0.99312619+99.99735956*M56 - 0.00000044*M56^2 - INT(0.99312619+99.99735956*M56- 0.00000044*M56^2))</f>
        <v>4.76541155347242</v>
      </c>
      <c r="S56" s="26" t="n">
        <f aca="false">2*PI()*(0.827361+1236.853086*M56 - INT(0.827361+1236.853086*M56))</f>
        <v>2.56522267095295</v>
      </c>
      <c r="T56" s="26" t="n">
        <f aca="false">2*PI()*(0.259086+1342.227825*M56 - INT(0.259086+1342.227825*M56))</f>
        <v>5.21199690842313</v>
      </c>
      <c r="U56" s="26" t="n">
        <f aca="false">T56+(P56+412*SIN(2*T56)+541*SIN(R56))/206264.8062</f>
        <v>5.27482244918632</v>
      </c>
      <c r="V56" s="26" t="n">
        <f aca="false">T56-2*S56</f>
        <v>0.0815515665172288</v>
      </c>
      <c r="W56" s="25" t="n">
        <f aca="false">-526*SIN(V56)+44*SIN(Q56+V56)-31*SIN(-Q56+V56)-23*SIN(R56+V56)+11*SIN(-R56+V56)-25*SIN(-2*Q56+T56)+21*SIN(-Q56+T56)</f>
        <v>37.65237643611</v>
      </c>
      <c r="X56" s="26" t="n">
        <f aca="false">2*PI()*(O56+P56/1296000-INT(O56+P56/1296000))</f>
        <v>6.05965714666465</v>
      </c>
      <c r="Y56" s="26" t="n">
        <f aca="false">(18520*SIN(U56)+W56)/206264.8062</f>
        <v>-0.0757740824313988</v>
      </c>
      <c r="Z56" s="26" t="n">
        <f aca="false">Y56*180/PI()</f>
        <v>-4.34153511979555</v>
      </c>
      <c r="AA56" s="26" t="n">
        <f aca="false">COS(Y56)*COS(X56)</f>
        <v>0.972323334063564</v>
      </c>
      <c r="AB56" s="26" t="n">
        <f aca="false">COS(Y56)*SIN(X56)</f>
        <v>-0.221035298406691</v>
      </c>
      <c r="AC56" s="26" t="n">
        <f aca="false">SIN(Y56)</f>
        <v>-0.0757015910914678</v>
      </c>
      <c r="AD56" s="26" t="n">
        <f aca="false">COS($A$4*(23.4393-46.815*M56/3600))*AB56-SIN($A$4*(23.4393-46.815*M56/3600))*AC56</f>
        <v>-0.17269166494854</v>
      </c>
      <c r="AE56" s="26" t="n">
        <f aca="false">SIN($A$4*(23.4393-46.815*M56/3600))*AB56+COS($A$4*(23.4393-46.815*M56/3600))*AC56</f>
        <v>-0.157368748145291</v>
      </c>
      <c r="AF56" s="26" t="n">
        <f aca="false">SQRT(1-AE56*AE56)</f>
        <v>0.987539911652782</v>
      </c>
      <c r="AG56" s="10" t="n">
        <f aca="false">ATAN(AE56/AF56)/$A$4</f>
        <v>-9.05420181160053</v>
      </c>
      <c r="AH56" s="26" t="n">
        <f aca="false">IF(24*ATAN(AD56/(AA56+AF56))/PI()&gt;0,24*ATAN(AD56/(AA56+AF56))/PI(),24*ATAN(AD56/(AA56+AF56))/PI()+24)</f>
        <v>23.3285915975623</v>
      </c>
      <c r="AI56" s="10" t="n">
        <f aca="false">IF(N56-15*AH56&gt;0,N56-15*AH56,360+N56-15*AH56)</f>
        <v>296.436027054894</v>
      </c>
      <c r="AJ56" s="18" t="n">
        <f aca="false">0.950724+0.051818*COS(Q56)+0.009531*COS(2*S56-Q56)+0.007843*COS(2*S56)+0.002824*COS(2*Q56)+0.000857*COS(2*S56+Q56)+0.000533*COS(2*S56-R56)+0.000401*COS(2*S56-R56-Q56)+0.00032*COS(Q56-R56)-0.000271*COS(S56)</f>
        <v>0.980716337062863</v>
      </c>
      <c r="AK56" s="50" t="n">
        <f aca="false">ASIN(COS($A$4*$G$2)*COS($A$4*AG56)*COS($A$4*AI56)+SIN($A$4*$G$2)*SIN($A$4*AG56))/$A$4</f>
        <v>27.7872534351709</v>
      </c>
      <c r="AL56" s="18" t="n">
        <f aca="false">ASIN((0.9983271+0.0016764*COS($A$4*2*$G$2))*COS($A$4*AK56)*SIN($A$4*AJ56))/$A$4</f>
        <v>0.867174432450324</v>
      </c>
      <c r="AM56" s="18" t="n">
        <f aca="false">AK56-AL56</f>
        <v>26.9200790027206</v>
      </c>
      <c r="AN56" s="10" t="n">
        <f aca="false"> IF(280.4664567 + 360007.6982779*M56/10 + 0.03032028*M56^2/100 + M56^3/49931000&lt;0,MOD(280.4664567 + 360007.6982779*M56/10 + 0.03032028*M56^2/100 + M56^3/49931000+360,360),MOD(280.4664567 + 360007.6982779*M56/10 + 0.03032028*M56^2/100 + M56^3/49931000,360))</f>
        <v>196.370683517667</v>
      </c>
      <c r="AO56" s="27" t="n">
        <f aca="false"> AN56 + (1.9146 - 0.004817*M56 - 0.000014*M56^2)*SIN(R56)+ (0.019993 - 0.000101*M56)*SIN(2*R56)+ 0.00029*SIN(3*R56)</f>
        <v>194.458042634975</v>
      </c>
      <c r="AP56" s="18" t="n">
        <f aca="false">ACOS(COS(X56-$A$4*AO56)*COS(Y56))/$A$4</f>
        <v>152.417428951525</v>
      </c>
      <c r="AQ56" s="25" t="n">
        <f aca="false">180 - AP56 -0.1468*(1-0.0549*SIN(R56))*SIN($A$4*AP56)/(1-0.0167*SIN($A$4*AO56))</f>
        <v>27.5111700405296</v>
      </c>
      <c r="AR56" s="25" t="n">
        <f aca="false">SIN($A$4*AI56)</f>
        <v>-0.895432000707698</v>
      </c>
      <c r="AS56" s="25" t="n">
        <f aca="false">COS($A$4*AI56)*SIN($A$4*$G$2) - TAN($A$4*AG56)*COS($A$4*$G$2)</f>
        <v>-0.0272664144696474</v>
      </c>
      <c r="AT56" s="25" t="n">
        <f aca="false">IF(OR(AND(AR56*AS56&gt;0), AND(AR56&lt;0,AS56&gt;0)), MOD(ATAN2(AS56,AR56)/$A$4+360,360),  ATAN2(AS56,AR56)/$A$4)</f>
        <v>268.255849824581</v>
      </c>
      <c r="AU56" s="29" t="n">
        <f aca="false">(1+SIN($A$4*H56)*SIN($A$4*AJ56))*120*ASIN(0.272481*SIN($A$4*AJ56))/$A$4</f>
        <v>32.3142215526278</v>
      </c>
      <c r="AV56" s="10" t="n">
        <f aca="false">COS(X56)</f>
        <v>0.9751214278499</v>
      </c>
      <c r="AW56" s="10" t="n">
        <f aca="false">SIN(X56)</f>
        <v>-0.221671380534277</v>
      </c>
      <c r="AX56" s="30" t="n">
        <f aca="false"> 385000.56 + (-20905355*COS(Q56) - 3699111*COS(2*S56-Q56) - 2955968*COS(2*S56) - 569925*COS(2*Q56) + (1-0.002516*M56)*48888*COS(R56) - 3149*COS(2*T56)  +246158*COS(2*S56-2*Q56) -(1-0.002516*M56)*152138*COS(2*S56-R56-Q56) -170733*COS(2*S56+Q56) -(1-0.002516*M56)*204586*COS(2*S56-R56) -(1-0.002516*M56)*129620*COS(R56-Q56)  + 108743*COS(S56) +(1-0.002516*M56)*104755*COS(R56+Q56) +10321*COS(2*S56-2*T56) +79661*COS(Q56-2*T56) -34782*COS(4*S56-Q56) -23210*COS(3*Q56)  -21636*COS(4*S56-2*Q56) +(1-0.002516*M56)*24208*COS(2*S56+R56-Q56) +(1-0.002516*M56)*30824*COS(2*S56+R56) -8379*COS(S56-Q56) -(1-0.002516*M56)*16675*COS(S56+R56)  -(1-0.002516*M56)*12831*COS(2*S56-R56+Q56) -10445*COS(2*S56+2*Q56) -11650*COS(4*S56) +14403*COS(2*S56-3*Q56) -(1-0.002516*M56)*7003*COS(R56-2*Q56)  + (1-0.002516*M56)*10056*COS(2*S56-R56-2*Q56) +6322*COS(S56+Q56) -(1-0.002516*M56)*(1-0.002516*M56)*9884*COS(2*S56-2*R56) +(1-0.002516*M56)*5751*COS(R56+2*Q56) -(1-0.002516*M56)*(1-0.002516*M56)*4950*COS(2*S56-2*R56-Q56)  +4130*COS(2*S56+Q56-2*T56) -(1-0.002516*M56)*3958*COS(4*S56-R56-Q56) +3258*COS(3*S56-Q56) +(1-0.002516*M56)*2616*COS(2*S56+R56+Q56) -(1-0.002516*M56)*1897*COS(4*S56-R56-2*Q56)  -(1-0.002516*M56)*(1-0.002516*M56)*2117*COS(2*R56-Q56) +(1-0.002516*M56)*(1-0.002516*M56)*2354*COS(2*S56+2*R56-Q56) -1423*COS(4*S56+Q56) -1117*COS(4*Q56) -(1-0.002516*M56)*1571*COS(4*S56-R56)  -1739*COS(S56-2*Q56) -4421*COS(2*Q56-2*T56) +(1-0.002516*M56)*(1-0.002516*M56)*1165*COS(2*R56+Q56) +8752*COS(2*S56-Q56-2*T56))/1000</f>
        <v>372725.977841269</v>
      </c>
      <c r="AY56" s="10" t="n">
        <f aca="false">AY55+1/8</f>
        <v>7.75</v>
      </c>
      <c r="AZ56" s="17" t="n">
        <f aca="false">AZ55+1</f>
        <v>55</v>
      </c>
      <c r="BA56" s="32" t="n">
        <f aca="false">ATAN(0.99664719*TAN($A$4*input!$E$2))</f>
        <v>-0.400219206115995</v>
      </c>
      <c r="BB56" s="32" t="n">
        <f aca="false">COS(BA56)</f>
        <v>0.920975608992155</v>
      </c>
      <c r="BC56" s="32" t="n">
        <f aca="false">0.99664719*SIN(BA56)</f>
        <v>-0.388313912533463</v>
      </c>
      <c r="BD56" s="32" t="n">
        <f aca="false">6378.14/AX56</f>
        <v>0.0171121423758562</v>
      </c>
      <c r="BE56" s="33" t="n">
        <f aca="false">MOD(N56-15*AH56,360)</f>
        <v>296.436027054894</v>
      </c>
      <c r="BF56" s="27" t="n">
        <f aca="false">COS($A$4*AG56)*SIN($A$4*BE56)</f>
        <v>-0.884274838869954</v>
      </c>
      <c r="BG56" s="27" t="n">
        <f aca="false">COS($A$4*AG56)*COS($A$4*BE56)-BB56*BD56</f>
        <v>0.423891230521151</v>
      </c>
      <c r="BH56" s="27" t="n">
        <f aca="false">SIN($A$4*AG56)-BC56*BD56</f>
        <v>-0.150723865187492</v>
      </c>
      <c r="BI56" s="46" t="n">
        <f aca="false">SQRT(BF56^2+BG56^2+BH56^2)</f>
        <v>0.992140841568513</v>
      </c>
      <c r="BJ56" s="35" t="n">
        <f aca="false">AX56*BI56</f>
        <v>369796.665329883</v>
      </c>
    </row>
    <row r="57" customFormat="false" ht="15" hidden="false" customHeight="false" outlineLevel="0" collapsed="false">
      <c r="A57" s="0"/>
      <c r="B57" s="20"/>
      <c r="C57" s="15" t="n">
        <f aca="false">MOD(C56+3,24)</f>
        <v>21</v>
      </c>
      <c r="D57" s="105" t="n">
        <v>7</v>
      </c>
      <c r="E57" s="102" t="n">
        <f aca="false">input!$C$2</f>
        <v>10</v>
      </c>
      <c r="F57" s="102" t="n">
        <f aca="false">input!$D$2</f>
        <v>2022</v>
      </c>
      <c r="H57" s="39" t="n">
        <f aca="false">AM57</f>
        <v>65.3905893806733</v>
      </c>
      <c r="I57" s="48" t="n">
        <f aca="false">H57+1.02/(TAN($A$4*(H57+10.3/(H57+5.11)))*60)</f>
        <v>65.3983235847182</v>
      </c>
      <c r="J57" s="39" t="n">
        <f aca="false">100*(1+COS($A$4*AQ57))/2</f>
        <v>94.9815431228376</v>
      </c>
      <c r="K57" s="48" t="n">
        <f aca="false">IF(AI57&gt;180,AT57-180,AT57+180)</f>
        <v>55.7680467529889</v>
      </c>
      <c r="L57" s="10" t="n">
        <f aca="false">L56+1/8</f>
        <v>2459860.375</v>
      </c>
      <c r="M57" s="49" t="n">
        <f aca="false">(L57-2451545)/36525</f>
        <v>0.227662559890486</v>
      </c>
      <c r="N57" s="15" t="n">
        <f aca="false">MOD(280.46061837+360.98564736629*(L57-2451545)+0.000387933*M57^2-M57^3/38710000+$G$4,360)</f>
        <v>331.488106939942</v>
      </c>
      <c r="O57" s="18" t="n">
        <f aca="false">0.60643382+1336.85522467*M57 - 0.00000313*M57^2 - INT(0.60643382+1336.85522467*M57 - 0.00000313*M57^2)</f>
        <v>0.958316309114309</v>
      </c>
      <c r="P57" s="15" t="n">
        <f aca="false">22640*SIN(Q57)-4586*SIN(Q57-2*S57)+2370*SIN(2*S57)+769*SIN(2*Q57)-668*SIN(R57)-412*SIN(2*T57)-212*SIN(2*Q57-2*S57)-206*SIN(Q57+R57-2*S57)+192*SIN(Q57+2*S57)-165*SIN(R57-2*S57)-125*SIN(S57)-110*SIN(Q57+R57)+148*SIN(Q57-R57)-55*SIN(2*T57-2*S57)</f>
        <v>14242.6094646891</v>
      </c>
      <c r="Q57" s="18" t="n">
        <f aca="false">2*PI()*(0.374897+1325.55241*M57 - INT(0.374897+1325.55241*M57))</f>
        <v>0.964795227970628</v>
      </c>
      <c r="R57" s="26" t="n">
        <f aca="false">2*PI()*(0.99312619+99.99735956*M57 - 0.00000044*M57^2 - INT(0.99312619+99.99735956*M57- 0.00000044*M57^2))</f>
        <v>4.76756179967052</v>
      </c>
      <c r="S57" s="26" t="n">
        <f aca="false">2*PI()*(0.827361+1236.853086*M57 - INT(0.827361+1236.853086*M57))</f>
        <v>2.59181875971787</v>
      </c>
      <c r="T57" s="26" t="n">
        <f aca="false">2*PI()*(0.259086+1342.227825*M57 - INT(0.259086+1342.227825*M57))</f>
        <v>5.24085887334089</v>
      </c>
      <c r="U57" s="26" t="n">
        <f aca="false">T57+(P57+412*SIN(2*T57)+541*SIN(R57))/206264.8062</f>
        <v>5.30555066692238</v>
      </c>
      <c r="V57" s="26" t="n">
        <f aca="false">T57-2*S57</f>
        <v>0.0572213539051427</v>
      </c>
      <c r="W57" s="25" t="n">
        <f aca="false">-526*SIN(V57)+44*SIN(Q57+V57)-31*SIN(-Q57+V57)-23*SIN(R57+V57)+11*SIN(-R57+V57)-25*SIN(-2*Q57+T57)+21*SIN(-Q57+T57)</f>
        <v>50.9293898287567</v>
      </c>
      <c r="X57" s="26" t="n">
        <f aca="false">2*PI()*(O57+P57/1296000-INT(O57+P57/1296000))</f>
        <v>6.09032907228941</v>
      </c>
      <c r="Y57" s="26" t="n">
        <f aca="false">(18520*SIN(U57)+W57)/206264.8062</f>
        <v>-0.0742028560368587</v>
      </c>
      <c r="Z57" s="26" t="n">
        <f aca="false">Y57*180/PI()</f>
        <v>-4.25151047872884</v>
      </c>
      <c r="AA57" s="26" t="n">
        <f aca="false">COS(Y57)*COS(X57)</f>
        <v>0.978760051480143</v>
      </c>
      <c r="AB57" s="26" t="n">
        <f aca="false">COS(Y57)*SIN(X57)</f>
        <v>-0.19113554338802</v>
      </c>
      <c r="AC57" s="26" t="n">
        <f aca="false">SIN(Y57)</f>
        <v>-0.0741347805038484</v>
      </c>
      <c r="AD57" s="26" t="n">
        <f aca="false">COS($A$4*(23.4393-46.815*M57/3600))*AB57-SIN($A$4*(23.4393-46.815*M57/3600))*AC57</f>
        <v>-0.145881730912651</v>
      </c>
      <c r="AE57" s="26" t="n">
        <f aca="false">SIN($A$4*(23.4393-46.815*M57/3600))*AB57+COS($A$4*(23.4393-46.815*M57/3600))*AC57</f>
        <v>-0.14403916902189</v>
      </c>
      <c r="AF57" s="26" t="n">
        <f aca="false">SQRT(1-AE57*AE57)</f>
        <v>0.989571987167929</v>
      </c>
      <c r="AG57" s="10" t="n">
        <f aca="false">ATAN(AE57/AF57)/$A$4</f>
        <v>-8.28164356058109</v>
      </c>
      <c r="AH57" s="26" t="n">
        <f aca="false">IF(24*ATAN(AD57/(AA57+AF57))/PI()&gt;0,24*ATAN(AD57/(AA57+AF57))/PI(),24*ATAN(AD57/(AA57+AF57))/PI()+24)</f>
        <v>23.4348410409172</v>
      </c>
      <c r="AI57" s="10" t="n">
        <f aca="false">IF(N57-15*AH57&gt;0,N57-15*AH57,360+N57-15*AH57)</f>
        <v>339.965491326184</v>
      </c>
      <c r="AJ57" s="18" t="n">
        <f aca="false">0.950724+0.051818*COS(Q57)+0.009531*COS(2*S57-Q57)+0.007843*COS(2*S57)+0.002824*COS(2*Q57)+0.000857*COS(2*S57+Q57)+0.000533*COS(2*S57-R57)+0.000401*COS(2*S57-R57-Q57)+0.00032*COS(Q57-R57)-0.000271*COS(S57)</f>
        <v>0.979949899061654</v>
      </c>
      <c r="AK57" s="50" t="n">
        <f aca="false">ASIN(COS($A$4*$G$2)*COS($A$4*AG57)*COS($A$4*AI57)+SIN($A$4*$G$2)*SIN($A$4*AG57))/$A$4</f>
        <v>65.7921946091451</v>
      </c>
      <c r="AL57" s="18" t="n">
        <f aca="false">ASIN((0.9983271+0.0016764*COS($A$4*2*$G$2))*COS($A$4*AK57)*SIN($A$4*AJ57))/$A$4</f>
        <v>0.401605228471897</v>
      </c>
      <c r="AM57" s="18" t="n">
        <f aca="false">AK57-AL57</f>
        <v>65.3905893806733</v>
      </c>
      <c r="AN57" s="10" t="n">
        <f aca="false"> IF(280.4664567 + 360007.6982779*M57/10 + 0.03032028*M57^2/100 + M57^3/49931000&lt;0,MOD(280.4664567 + 360007.6982779*M57/10 + 0.03032028*M57^2/100 + M57^3/49931000+360,360),MOD(280.4664567 + 360007.6982779*M57/10 + 0.03032028*M57^2/100 + M57^3/49931000,360))</f>
        <v>196.49388943815</v>
      </c>
      <c r="AO57" s="27" t="n">
        <f aca="false"> AN57 + (1.9146 - 0.004817*M57 - 0.000014*M57^2)*SIN(R57)+ (0.019993 - 0.000101*M57)*SIN(2*R57)+ 0.00029*SIN(3*R57)</f>
        <v>194.581385367563</v>
      </c>
      <c r="AP57" s="18" t="n">
        <f aca="false">ACOS(COS(X57-$A$4*AO57)*COS(Y57))/$A$4</f>
        <v>154.042093649388</v>
      </c>
      <c r="AQ57" s="25" t="n">
        <f aca="false">180 - AP57 -0.1468*(1-0.0549*SIN(R57))*SIN($A$4*AP57)/(1-0.0167*SIN($A$4*AO57))</f>
        <v>25.8904119030702</v>
      </c>
      <c r="AR57" s="25" t="n">
        <f aca="false">SIN($A$4*AI57)</f>
        <v>-0.342586048705454</v>
      </c>
      <c r="AS57" s="25" t="n">
        <f aca="false">COS($A$4*AI57)*SIN($A$4*$G$2) - TAN($A$4*AG57)*COS($A$4*$G$2)</f>
        <v>-0.233100641286425</v>
      </c>
      <c r="AT57" s="25" t="n">
        <f aca="false">IF(OR(AND(AR57*AS57&gt;0), AND(AR57&lt;0,AS57&gt;0)), MOD(ATAN2(AS57,AR57)/$A$4+360,360),  ATAN2(AS57,AR57)/$A$4)</f>
        <v>235.768046752989</v>
      </c>
      <c r="AU57" s="29" t="n">
        <f aca="false">(1+SIN($A$4*H57)*SIN($A$4*AJ57))*120*ASIN(0.272481*SIN($A$4*AJ57))/$A$4</f>
        <v>32.5388836230045</v>
      </c>
      <c r="AV57" s="10" t="n">
        <f aca="false">COS(X57)</f>
        <v>0.981460804854838</v>
      </c>
      <c r="AW57" s="10" t="n">
        <f aca="false">SIN(X57)</f>
        <v>-0.191662955559215</v>
      </c>
      <c r="AX57" s="30" t="n">
        <f aca="false"> 385000.56 + (-20905355*COS(Q57) - 3699111*COS(2*S57-Q57) - 2955968*COS(2*S57) - 569925*COS(2*Q57) + (1-0.002516*M57)*48888*COS(R57) - 3149*COS(2*T57)  +246158*COS(2*S57-2*Q57) -(1-0.002516*M57)*152138*COS(2*S57-R57-Q57) -170733*COS(2*S57+Q57) -(1-0.002516*M57)*204586*COS(2*S57-R57) -(1-0.002516*M57)*129620*COS(R57-Q57)  + 108743*COS(S57) +(1-0.002516*M57)*104755*COS(R57+Q57) +10321*COS(2*S57-2*T57) +79661*COS(Q57-2*T57) -34782*COS(4*S57-Q57) -23210*COS(3*Q57)  -21636*COS(4*S57-2*Q57) +(1-0.002516*M57)*24208*COS(2*S57+R57-Q57) +(1-0.002516*M57)*30824*COS(2*S57+R57) -8379*COS(S57-Q57) -(1-0.002516*M57)*16675*COS(S57+R57)  -(1-0.002516*M57)*12831*COS(2*S57-R57+Q57) -10445*COS(2*S57+2*Q57) -11650*COS(4*S57) +14403*COS(2*S57-3*Q57) -(1-0.002516*M57)*7003*COS(R57-2*Q57)  + (1-0.002516*M57)*10056*COS(2*S57-R57-2*Q57) +6322*COS(S57+Q57) -(1-0.002516*M57)*(1-0.002516*M57)*9884*COS(2*S57-2*R57) +(1-0.002516*M57)*5751*COS(R57+2*Q57) -(1-0.002516*M57)*(1-0.002516*M57)*4950*COS(2*S57-2*R57-Q57)  +4130*COS(2*S57+Q57-2*T57) -(1-0.002516*M57)*3958*COS(4*S57-R57-Q57) +3258*COS(3*S57-Q57) +(1-0.002516*M57)*2616*COS(2*S57+R57+Q57) -(1-0.002516*M57)*1897*COS(4*S57-R57-2*Q57)  -(1-0.002516*M57)*(1-0.002516*M57)*2117*COS(2*R57-Q57) +(1-0.002516*M57)*(1-0.002516*M57)*2354*COS(2*S57+2*R57-Q57) -1423*COS(4*S57+Q57) -1117*COS(4*Q57) -(1-0.002516*M57)*1571*COS(4*S57-R57)  -1739*COS(S57-2*Q57) -4421*COS(2*Q57-2*T57) +(1-0.002516*M57)*(1-0.002516*M57)*1165*COS(2*R57+Q57) +8752*COS(2*S57-Q57-2*T57))/1000</f>
        <v>373025.220554211</v>
      </c>
      <c r="AY57" s="10" t="n">
        <f aca="false">AY56+1/8</f>
        <v>7.875</v>
      </c>
      <c r="AZ57" s="17" t="n">
        <f aca="false">AZ56+1</f>
        <v>56</v>
      </c>
      <c r="BA57" s="32" t="n">
        <f aca="false">ATAN(0.99664719*TAN($A$4*input!$E$2))</f>
        <v>-0.400219206115995</v>
      </c>
      <c r="BB57" s="32" t="n">
        <f aca="false">COS(BA57)</f>
        <v>0.920975608992155</v>
      </c>
      <c r="BC57" s="32" t="n">
        <f aca="false">0.99664719*SIN(BA57)</f>
        <v>-0.388313912533463</v>
      </c>
      <c r="BD57" s="32" t="n">
        <f aca="false">6378.14/AX57</f>
        <v>0.0170984149289527</v>
      </c>
      <c r="BE57" s="33" t="n">
        <f aca="false">MOD(N57-15*AH57,360)</f>
        <v>339.965491326184</v>
      </c>
      <c r="BF57" s="27" t="n">
        <f aca="false">COS($A$4*AG57)*SIN($A$4*BE57)</f>
        <v>-0.339013556993465</v>
      </c>
      <c r="BG57" s="27" t="n">
        <f aca="false">COS($A$4*AG57)*COS($A$4*BE57)-BB57*BD57</f>
        <v>0.913942255144439</v>
      </c>
      <c r="BH57" s="27" t="n">
        <f aca="false">SIN($A$4*AG57)-BC57*BD57</f>
        <v>-0.137399616622707</v>
      </c>
      <c r="BI57" s="46" t="n">
        <f aca="false">SQRT(BF57^2+BG57^2+BH57^2)</f>
        <v>0.984428408880976</v>
      </c>
      <c r="BJ57" s="35" t="n">
        <f aca="false">AX57*BI57</f>
        <v>367216.624342657</v>
      </c>
    </row>
    <row r="58" customFormat="false" ht="15" hidden="false" customHeight="false" outlineLevel="0" collapsed="false">
      <c r="A58" s="0"/>
      <c r="B58" s="20"/>
      <c r="C58" s="15" t="n">
        <f aca="false">MOD(C57+3,24)</f>
        <v>0</v>
      </c>
      <c r="D58" s="36" t="n">
        <v>8</v>
      </c>
      <c r="E58" s="102" t="n">
        <f aca="false">input!$C$2</f>
        <v>10</v>
      </c>
      <c r="F58" s="102" t="n">
        <f aca="false">input!$D$2</f>
        <v>2022</v>
      </c>
      <c r="G58" s="0"/>
      <c r="H58" s="39" t="n">
        <f aca="false">AM58</f>
        <v>62.164624741425</v>
      </c>
      <c r="I58" s="48" t="n">
        <f aca="false">H58+1.02/(TAN($A$4*(H58+10.3/(H58+5.11)))*60)</f>
        <v>62.1735432319923</v>
      </c>
      <c r="J58" s="39" t="n">
        <f aca="false">100*(1+COS($A$4*AQ58))/2</f>
        <v>95.5798706700652</v>
      </c>
      <c r="K58" s="48" t="n">
        <f aca="false">IF(AI58&gt;180,AT58-180,AT58+180)</f>
        <v>300.72894407122</v>
      </c>
      <c r="L58" s="10" t="n">
        <f aca="false">L57+1/8</f>
        <v>2459860.5</v>
      </c>
      <c r="M58" s="49" t="n">
        <f aca="false">(L58-2451545)/36525</f>
        <v>0.22766598220397</v>
      </c>
      <c r="N58" s="15" t="n">
        <f aca="false">MOD(280.46061837+360.98564736629*(L58-2451545)+0.000387933*M58^2-M58^3/38710000+$G$4,360)</f>
        <v>16.6113128615543</v>
      </c>
      <c r="O58" s="18" t="n">
        <f aca="false">0.60643382+1336.85522467*M58 - 0.00000313*M58^2 - INT(0.60643382+1336.85522467*M58 - 0.00000313*M58^2)</f>
        <v>0.962891446770925</v>
      </c>
      <c r="P58" s="15" t="n">
        <f aca="false">22640*SIN(Q58)-4586*SIN(Q58-2*S58)+2370*SIN(2*S58)+769*SIN(2*Q58)-668*SIN(R58)-412*SIN(2*T58)-212*SIN(2*Q58-2*S58)-206*SIN(Q58+R58-2*S58)+192*SIN(Q58+2*S58)-165*SIN(R58-2*S58)-125*SIN(S58)-110*SIN(Q58+R58)+148*SIN(Q58-R58)-55*SIN(2*T58-2*S58)</f>
        <v>14629.5312385976</v>
      </c>
      <c r="Q58" s="18" t="n">
        <f aca="false">2*PI()*(0.374897+1325.55241*M58 - INT(0.374897+1325.55241*M58))</f>
        <v>0.993298620942427</v>
      </c>
      <c r="R58" s="26" t="n">
        <f aca="false">2*PI()*(0.99312619+99.99735956*M58 - 0.00000044*M58^2 - INT(0.99312619+99.99735956*M58- 0.00000044*M58^2))</f>
        <v>4.76971204586863</v>
      </c>
      <c r="S58" s="26" t="n">
        <f aca="false">2*PI()*(0.827361+1236.853086*M58 - INT(0.827361+1236.853086*M58))</f>
        <v>2.6184148484828</v>
      </c>
      <c r="T58" s="26" t="n">
        <f aca="false">2*PI()*(0.259086+1342.227825*M58 - INT(0.259086+1342.227825*M58))</f>
        <v>5.26972083825865</v>
      </c>
      <c r="U58" s="26" t="n">
        <f aca="false">T58+(P58+412*SIN(2*T58)+541*SIN(R58))/206264.8062</f>
        <v>5.33623505295013</v>
      </c>
      <c r="V58" s="26" t="n">
        <f aca="false">T58-2*S58</f>
        <v>0.0328911412930566</v>
      </c>
      <c r="W58" s="25" t="n">
        <f aca="false">-526*SIN(V58)+44*SIN(Q58+V58)-31*SIN(-Q58+V58)-23*SIN(R58+V58)+11*SIN(-R58+V58)-25*SIN(-2*Q58+T58)+21*SIN(-Q58+T58)</f>
        <v>64.1330853430249</v>
      </c>
      <c r="X58" s="26" t="n">
        <f aca="false">2*PI()*(O58+P58/1296000-INT(O58+P58/1296000))</f>
        <v>6.12095135968689</v>
      </c>
      <c r="Y58" s="26" t="n">
        <f aca="false">(18520*SIN(U58)+W58)/206264.8062</f>
        <v>-0.0725639924763734</v>
      </c>
      <c r="Z58" s="26" t="n">
        <f aca="false">Y58*180/PI()</f>
        <v>-4.15761051351525</v>
      </c>
      <c r="AA58" s="26" t="n">
        <f aca="false">COS(Y58)*COS(X58)</f>
        <v>0.984271856235746</v>
      </c>
      <c r="AB58" s="26" t="n">
        <f aca="false">COS(Y58)*SIN(X58)</f>
        <v>-0.161098154793917</v>
      </c>
      <c r="AC58" s="26" t="n">
        <f aca="false">SIN(Y58)</f>
        <v>-0.0725003278905349</v>
      </c>
      <c r="AD58" s="26" t="n">
        <f aca="false">COS($A$4*(23.4393-46.815*M58/3600))*AB58-SIN($A$4*(23.4393-46.815*M58/3600))*AC58</f>
        <v>-0.118972420954579</v>
      </c>
      <c r="AE58" s="26" t="n">
        <f aca="false">SIN($A$4*(23.4393-46.815*M58/3600))*AB58+COS($A$4*(23.4393-46.815*M58/3600))*AC58</f>
        <v>-0.130592787222137</v>
      </c>
      <c r="AF58" s="26" t="n">
        <f aca="false">SQRT(1-AE58*AE58)</f>
        <v>0.991436091700092</v>
      </c>
      <c r="AG58" s="10" t="n">
        <f aca="false">ATAN(AE58/AF58)/$A$4</f>
        <v>-7.50384855434595</v>
      </c>
      <c r="AH58" s="26" t="n">
        <f aca="false">IF(24*ATAN(AD58/(AA58+AF58))/PI()&gt;0,24*ATAN(AD58/(AA58+AF58))/PI(),24*ATAN(AD58/(AA58+AF58))/PI()+24)</f>
        <v>23.5405261456341</v>
      </c>
      <c r="AI58" s="10" t="n">
        <f aca="false">IF(N58-15*AH58&gt;0,N58-15*AH58,360+N58-15*AH58)</f>
        <v>23.5034206770434</v>
      </c>
      <c r="AJ58" s="18" t="n">
        <f aca="false">0.950724+0.051818*COS(Q58)+0.009531*COS(2*S58-Q58)+0.007843*COS(2*S58)+0.002824*COS(2*Q58)+0.000857*COS(2*S58+Q58)+0.000533*COS(2*S58-R58)+0.000401*COS(2*S58-R58-Q58)+0.00032*COS(Q58-R58)-0.000271*COS(S58)</f>
        <v>0.9791482886501</v>
      </c>
      <c r="AK58" s="50" t="n">
        <f aca="false">ASIN(COS($A$4*$G$2)*COS($A$4*AG58)*COS($A$4*AI58)+SIN($A$4*$G$2)*SIN($A$4*AG58))/$A$4</f>
        <v>62.6147583990723</v>
      </c>
      <c r="AL58" s="18" t="n">
        <f aca="false">ASIN((0.9983271+0.0016764*COS($A$4*2*$G$2))*COS($A$4*AK58)*SIN($A$4*AJ58))/$A$4</f>
        <v>0.450133657647381</v>
      </c>
      <c r="AM58" s="18" t="n">
        <f aca="false">AK58-AL58</f>
        <v>62.164624741425</v>
      </c>
      <c r="AN58" s="10" t="n">
        <f aca="false"> IF(280.4664567 + 360007.6982779*M58/10 + 0.03032028*M58^2/100 + M58^3/49931000&lt;0,MOD(280.4664567 + 360007.6982779*M58/10 + 0.03032028*M58^2/100 + M58^3/49931000+360,360),MOD(280.4664567 + 360007.6982779*M58/10 + 0.03032028*M58^2/100 + M58^3/49931000,360))</f>
        <v>196.617095358637</v>
      </c>
      <c r="AO58" s="27" t="n">
        <f aca="false"> AN58 + (1.9146 - 0.004817*M58 - 0.000014*M58^2)*SIN(R58)+ (0.019993 - 0.000101*M58)*SIN(2*R58)+ 0.00029*SIN(3*R58)</f>
        <v>194.70473696265</v>
      </c>
      <c r="AP58" s="18" t="n">
        <f aca="false">ACOS(COS(X58-$A$4*AO58)*COS(Y58))/$A$4</f>
        <v>155.663502186068</v>
      </c>
      <c r="AQ58" s="25" t="n">
        <f aca="false">180 - AP58 -0.1468*(1-0.0549*SIN(R58))*SIN($A$4*AP58)/(1-0.0167*SIN($A$4*AO58))</f>
        <v>24.2729559016233</v>
      </c>
      <c r="AR58" s="25" t="n">
        <f aca="false">SIN($A$4*AI58)</f>
        <v>0.398803818605801</v>
      </c>
      <c r="AS58" s="25" t="n">
        <f aca="false">COS($A$4*AI58)*SIN($A$4*$G$2) - TAN($A$4*AG58)*COS($A$4*$G$2)</f>
        <v>-0.237064949835009</v>
      </c>
      <c r="AT58" s="25" t="n">
        <f aca="false">IF(OR(AND(AR58*AS58&gt;0), AND(AR58&lt;0,AS58&gt;0)), MOD(ATAN2(AS58,AR58)/$A$4+360,360),  ATAN2(AS58,AR58)/$A$4)</f>
        <v>120.72894407122</v>
      </c>
      <c r="AU58" s="29" t="n">
        <f aca="false">(1+SIN($A$4*H58)*SIN($A$4*AJ58))*120*ASIN(0.272481*SIN($A$4*AJ58))/$A$4</f>
        <v>32.4982531234234</v>
      </c>
      <c r="AV58" s="10" t="n">
        <f aca="false">COS(X58)</f>
        <v>0.98686891177503</v>
      </c>
      <c r="AW58" s="10" t="n">
        <f aca="false">SIN(X58)</f>
        <v>-0.161523221154014</v>
      </c>
      <c r="AX58" s="30" t="n">
        <f aca="false"> 385000.56 + (-20905355*COS(Q58) - 3699111*COS(2*S58-Q58) - 2955968*COS(2*S58) - 569925*COS(2*Q58) + (1-0.002516*M58)*48888*COS(R58) - 3149*COS(2*T58)  +246158*COS(2*S58-2*Q58) -(1-0.002516*M58)*152138*COS(2*S58-R58-Q58) -170733*COS(2*S58+Q58) -(1-0.002516*M58)*204586*COS(2*S58-R58) -(1-0.002516*M58)*129620*COS(R58-Q58)  + 108743*COS(S58) +(1-0.002516*M58)*104755*COS(R58+Q58) +10321*COS(2*S58-2*T58) +79661*COS(Q58-2*T58) -34782*COS(4*S58-Q58) -23210*COS(3*Q58)  -21636*COS(4*S58-2*Q58) +(1-0.002516*M58)*24208*COS(2*S58+R58-Q58) +(1-0.002516*M58)*30824*COS(2*S58+R58) -8379*COS(S58-Q58) -(1-0.002516*M58)*16675*COS(S58+R58)  -(1-0.002516*M58)*12831*COS(2*S58-R58+Q58) -10445*COS(2*S58+2*Q58) -11650*COS(4*S58) +14403*COS(2*S58-3*Q58) -(1-0.002516*M58)*7003*COS(R58-2*Q58)  + (1-0.002516*M58)*10056*COS(2*S58-R58-2*Q58) +6322*COS(S58+Q58) -(1-0.002516*M58)*(1-0.002516*M58)*9884*COS(2*S58-2*R58) +(1-0.002516*M58)*5751*COS(R58+2*Q58) -(1-0.002516*M58)*(1-0.002516*M58)*4950*COS(2*S58-2*R58-Q58)  +4130*COS(2*S58+Q58-2*T58) -(1-0.002516*M58)*3958*COS(4*S58-R58-Q58) +3258*COS(3*S58-Q58) +(1-0.002516*M58)*2616*COS(2*S58+R58+Q58) -(1-0.002516*M58)*1897*COS(4*S58-R58-2*Q58)  -(1-0.002516*M58)*(1-0.002516*M58)*2117*COS(2*R58-Q58) +(1-0.002516*M58)*(1-0.002516*M58)*2354*COS(2*S58+2*R58-Q58) -1423*COS(4*S58+Q58) -1117*COS(4*Q58) -(1-0.002516*M58)*1571*COS(4*S58-R58)  -1739*COS(S58-2*Q58) -4421*COS(2*Q58-2*T58) +(1-0.002516*M58)*(1-0.002516*M58)*1165*COS(2*R58+Q58) +8752*COS(2*S58-Q58-2*T58))/1000</f>
        <v>373337.568717547</v>
      </c>
      <c r="AY58" s="10" t="n">
        <f aca="false">AY57+1/8</f>
        <v>8</v>
      </c>
      <c r="AZ58" s="17" t="n">
        <f aca="false">AZ57+1</f>
        <v>57</v>
      </c>
      <c r="BA58" s="32" t="n">
        <f aca="false">ATAN(0.99664719*TAN($A$4*input!$E$2))</f>
        <v>-0.400219206115995</v>
      </c>
      <c r="BB58" s="32" t="n">
        <f aca="false">COS(BA58)</f>
        <v>0.920975608992155</v>
      </c>
      <c r="BC58" s="32" t="n">
        <f aca="false">0.99664719*SIN(BA58)</f>
        <v>-0.388313912533463</v>
      </c>
      <c r="BD58" s="32" t="n">
        <f aca="false">6378.14/AX58</f>
        <v>0.0170841097559765</v>
      </c>
      <c r="BE58" s="33" t="n">
        <f aca="false">MOD(N58-15*AH58,360)</f>
        <v>23.5034206770434</v>
      </c>
      <c r="BF58" s="27" t="n">
        <f aca="false">COS($A$4*AG58)*SIN($A$4*BE58)</f>
        <v>0.395388499273608</v>
      </c>
      <c r="BG58" s="27" t="n">
        <f aca="false">COS($A$4*AG58)*COS($A$4*BE58)-BB58*BD58</f>
        <v>0.893448803721665</v>
      </c>
      <c r="BH58" s="27" t="n">
        <f aca="false">SIN($A$4*AG58)-BC58*BD58</f>
        <v>-0.123958789720643</v>
      </c>
      <c r="BI58" s="46" t="n">
        <f aca="false">SQRT(BF58^2+BG58^2+BH58^2)</f>
        <v>0.984859691417268</v>
      </c>
      <c r="BJ58" s="35" t="n">
        <f aca="false">AX58*BI58</f>
        <v>367685.122721636</v>
      </c>
    </row>
    <row r="59" customFormat="false" ht="15" hidden="false" customHeight="false" outlineLevel="0" collapsed="false">
      <c r="A59" s="0"/>
      <c r="B59" s="20"/>
      <c r="C59" s="15" t="n">
        <f aca="false">MOD(C58+3,24)</f>
        <v>3</v>
      </c>
      <c r="D59" s="17" t="n">
        <v>8</v>
      </c>
      <c r="E59" s="102" t="n">
        <f aca="false">input!$C$2</f>
        <v>10</v>
      </c>
      <c r="F59" s="102" t="n">
        <f aca="false">input!$D$2</f>
        <v>2022</v>
      </c>
      <c r="G59" s="0"/>
      <c r="H59" s="39" t="n">
        <f aca="false">AM59</f>
        <v>22.8209009360228</v>
      </c>
      <c r="I59" s="48" t="n">
        <f aca="false">H59+1.02/(TAN($A$4*(H59+10.3/(H59+5.11)))*60)</f>
        <v>22.8605846694242</v>
      </c>
      <c r="J59" s="39" t="n">
        <f aca="false">100*(1+COS($A$4*AQ59))/2</f>
        <v>96.1406606255627</v>
      </c>
      <c r="K59" s="48" t="n">
        <f aca="false">IF(AI59&gt;180,AT59-180,AT59+180)</f>
        <v>272.727948637544</v>
      </c>
      <c r="L59" s="10" t="n">
        <f aca="false">L58+1/8</f>
        <v>2459860.625</v>
      </c>
      <c r="M59" s="49" t="n">
        <f aca="false">(L59-2451545)/36525</f>
        <v>0.227669404517454</v>
      </c>
      <c r="N59" s="15" t="n">
        <f aca="false">MOD(280.46061837+360.98564736629*(L59-2451545)+0.000387933*M59^2-M59^3/38710000+$G$4,360)</f>
        <v>61.7345187827013</v>
      </c>
      <c r="O59" s="18" t="n">
        <f aca="false">0.60643382+1336.85522467*M59 - 0.00000313*M59^2 - INT(0.60643382+1336.85522467*M59 - 0.00000313*M59^2)</f>
        <v>0.967466584427427</v>
      </c>
      <c r="P59" s="15" t="n">
        <f aca="false">22640*SIN(Q59)-4586*SIN(Q59-2*S59)+2370*SIN(2*S59)+769*SIN(2*Q59)-668*SIN(R59)-412*SIN(2*T59)-212*SIN(2*Q59-2*S59)-206*SIN(Q59+R59-2*S59)+192*SIN(Q59+2*S59)-165*SIN(R59-2*S59)-125*SIN(S59)-110*SIN(Q59+R59)+148*SIN(Q59-R59)-55*SIN(2*T59-2*S59)</f>
        <v>15005.6773544647</v>
      </c>
      <c r="Q59" s="18" t="n">
        <f aca="false">2*PI()*(0.374897+1325.55241*M59 - INT(0.374897+1325.55241*M59))</f>
        <v>1.02180201391458</v>
      </c>
      <c r="R59" s="26" t="n">
        <f aca="false">2*PI()*(0.99312619+99.99735956*M59 - 0.00000044*M59^2 - INT(0.99312619+99.99735956*M59- 0.00000044*M59^2))</f>
        <v>4.77186229206673</v>
      </c>
      <c r="S59" s="26" t="n">
        <f aca="false">2*PI()*(0.827361+1236.853086*M59 - INT(0.827361+1236.853086*M59))</f>
        <v>2.64501093724772</v>
      </c>
      <c r="T59" s="26" t="n">
        <f aca="false">2*PI()*(0.259086+1342.227825*M59 - INT(0.259086+1342.227825*M59))</f>
        <v>5.29858280317605</v>
      </c>
      <c r="U59" s="26" t="n">
        <f aca="false">T59+(P59+412*SIN(2*T59)+541*SIN(R59))/206264.8062</f>
        <v>5.36687318266452</v>
      </c>
      <c r="V59" s="26" t="n">
        <f aca="false">T59-2*S59</f>
        <v>0.00856092868061342</v>
      </c>
      <c r="W59" s="25" t="n">
        <f aca="false">-526*SIN(V59)+44*SIN(Q59+V59)-31*SIN(-Q59+V59)-23*SIN(R59+V59)+11*SIN(-R59+V59)-25*SIN(-2*Q59+T59)+21*SIN(-Q59+T59)</f>
        <v>77.2537037168731</v>
      </c>
      <c r="X59" s="26" t="n">
        <f aca="false">2*PI()*(O59+P59/1296000-INT(O59+P59/1296000))</f>
        <v>6.15152140521923</v>
      </c>
      <c r="Y59" s="26" t="n">
        <f aca="false">(18520*SIN(U59)+W59)/206264.8062</f>
        <v>-0.0708594513945291</v>
      </c>
      <c r="Z59" s="26" t="n">
        <f aca="false">Y59*180/PI()</f>
        <v>-4.05994750351891</v>
      </c>
      <c r="AA59" s="26" t="n">
        <f aca="false">COS(Y59)*COS(X59)</f>
        <v>0.988857062065494</v>
      </c>
      <c r="AB59" s="26" t="n">
        <f aca="false">COS(Y59)*SIN(X59)</f>
        <v>-0.130954369971376</v>
      </c>
      <c r="AC59" s="26" t="n">
        <f aca="false">SIN(Y59)</f>
        <v>-0.0708001679983921</v>
      </c>
      <c r="AD59" s="26" t="n">
        <f aca="false">COS($A$4*(23.4393-46.815*M59/3600))*AB59-SIN($A$4*(23.4393-46.815*M59/3600))*AC59</f>
        <v>-0.09199162591303</v>
      </c>
      <c r="AE59" s="26" t="n">
        <f aca="false">SIN($A$4*(23.4393-46.815*M59/3600))*AB59+COS($A$4*(23.4393-46.815*M59/3600))*AC59</f>
        <v>-0.117043801907994</v>
      </c>
      <c r="AF59" s="26" t="n">
        <f aca="false">SQRT(1-AE59*AE59)</f>
        <v>0.993126753458451</v>
      </c>
      <c r="AG59" s="10" t="n">
        <f aca="false">ATAN(AE59/AF59)/$A$4</f>
        <v>-6.72152249581307</v>
      </c>
      <c r="AH59" s="26" t="n">
        <f aca="false">IF(24*ATAN(AD59/(AA59+AF59))/PI()&gt;0,24*ATAN(AD59/(AA59+AF59))/PI(),24*ATAN(AD59/(AA59+AF59))/PI()+24)</f>
        <v>23.6456781041643</v>
      </c>
      <c r="AI59" s="10" t="n">
        <f aca="false">IF(N59-15*AH59&gt;0,N59-15*AH59,360+N59-15*AH59)</f>
        <v>67.0493472202373</v>
      </c>
      <c r="AJ59" s="18" t="n">
        <f aca="false">0.950724+0.051818*COS(Q59)+0.009531*COS(2*S59-Q59)+0.007843*COS(2*S59)+0.002824*COS(2*Q59)+0.000857*COS(2*S59+Q59)+0.000533*COS(2*S59-R59)+0.000401*COS(2*S59-R59-Q59)+0.00032*COS(Q59-R59)-0.000271*COS(S59)</f>
        <v>0.978311807097019</v>
      </c>
      <c r="AK59" s="50" t="n">
        <f aca="false">ASIN(COS($A$4*$G$2)*COS($A$4*AG59)*COS($A$4*AI59)+SIN($A$4*$G$2)*SIN($A$4*AG59))/$A$4</f>
        <v>23.7161312928412</v>
      </c>
      <c r="AL59" s="18" t="n">
        <f aca="false">ASIN((0.9983271+0.0016764*COS($A$4*2*$G$2))*COS($A$4*AK59)*SIN($A$4*AJ59))/$A$4</f>
        <v>0.895230356818458</v>
      </c>
      <c r="AM59" s="18" t="n">
        <f aca="false">AK59-AL59</f>
        <v>22.8209009360228</v>
      </c>
      <c r="AN59" s="10" t="n">
        <f aca="false"> IF(280.4664567 + 360007.6982779*M59/10 + 0.03032028*M59^2/100 + M59^3/49931000&lt;0,MOD(280.4664567 + 360007.6982779*M59/10 + 0.03032028*M59^2/100 + M59^3/49931000+360,360),MOD(280.4664567 + 360007.6982779*M59/10 + 0.03032028*M59^2/100 + M59^3/49931000,360))</f>
        <v>196.740301279122</v>
      </c>
      <c r="AO59" s="27" t="n">
        <f aca="false"> AN59 + (1.9146 - 0.004817*M59 - 0.000014*M59^2)*SIN(R59)+ (0.019993 - 0.000101*M59)*SIN(2*R59)+ 0.00029*SIN(3*R59)</f>
        <v>194.82809742075</v>
      </c>
      <c r="AP59" s="18" t="n">
        <f aca="false">ACOS(COS(X59-$A$4*AO59)*COS(Y59))/$A$4</f>
        <v>157.281334929296</v>
      </c>
      <c r="AQ59" s="25" t="n">
        <f aca="false">180 - AP59 -0.1468*(1-0.0549*SIN(R59))*SIN($A$4*AP59)/(1-0.0167*SIN($A$4*AO59))</f>
        <v>22.6591173879424</v>
      </c>
      <c r="AR59" s="25" t="n">
        <f aca="false">SIN($A$4*AI59)</f>
        <v>0.920841037574228</v>
      </c>
      <c r="AS59" s="25" t="n">
        <f aca="false">COS($A$4*AI59)*SIN($A$4*$G$2) - TAN($A$4*AG59)*COS($A$4*$G$2)</f>
        <v>-0.0438759526660054</v>
      </c>
      <c r="AT59" s="25" t="n">
        <f aca="false">IF(OR(AND(AR59*AS59&gt;0), AND(AR59&lt;0,AS59&gt;0)), MOD(ATAN2(AS59,AR59)/$A$4+360,360),  ATAN2(AS59,AR59)/$A$4)</f>
        <v>92.7279486375442</v>
      </c>
      <c r="AU59" s="29" t="n">
        <f aca="false">(1+SIN($A$4*H59)*SIN($A$4*AJ59))*120*ASIN(0.272481*SIN($A$4*AJ59))/$A$4</f>
        <v>32.1989503391399</v>
      </c>
      <c r="AV59" s="10" t="n">
        <f aca="false">COS(X59)</f>
        <v>0.991344822706476</v>
      </c>
      <c r="AW59" s="10" t="n">
        <f aca="false">SIN(X59)</f>
        <v>-0.131283824186628</v>
      </c>
      <c r="AX59" s="30" t="n">
        <f aca="false"> 385000.56 + (-20905355*COS(Q59) - 3699111*COS(2*S59-Q59) - 2955968*COS(2*S59) - 569925*COS(2*Q59) + (1-0.002516*M59)*48888*COS(R59) - 3149*COS(2*T59)  +246158*COS(2*S59-2*Q59) -(1-0.002516*M59)*152138*COS(2*S59-R59-Q59) -170733*COS(2*S59+Q59) -(1-0.002516*M59)*204586*COS(2*S59-R59) -(1-0.002516*M59)*129620*COS(R59-Q59)  + 108743*COS(S59) +(1-0.002516*M59)*104755*COS(R59+Q59) +10321*COS(2*S59-2*T59) +79661*COS(Q59-2*T59) -34782*COS(4*S59-Q59) -23210*COS(3*Q59)  -21636*COS(4*S59-2*Q59) +(1-0.002516*M59)*24208*COS(2*S59+R59-Q59) +(1-0.002516*M59)*30824*COS(2*S59+R59) -8379*COS(S59-Q59) -(1-0.002516*M59)*16675*COS(S59+R59)  -(1-0.002516*M59)*12831*COS(2*S59-R59+Q59) -10445*COS(2*S59+2*Q59) -11650*COS(4*S59) +14403*COS(2*S59-3*Q59) -(1-0.002516*M59)*7003*COS(R59-2*Q59)  + (1-0.002516*M59)*10056*COS(2*S59-R59-2*Q59) +6322*COS(S59+Q59) -(1-0.002516*M59)*(1-0.002516*M59)*9884*COS(2*S59-2*R59) +(1-0.002516*M59)*5751*COS(R59+2*Q59) -(1-0.002516*M59)*(1-0.002516*M59)*4950*COS(2*S59-2*R59-Q59)  +4130*COS(2*S59+Q59-2*T59) -(1-0.002516*M59)*3958*COS(4*S59-R59-Q59) +3258*COS(3*S59-Q59) +(1-0.002516*M59)*2616*COS(2*S59+R59+Q59) -(1-0.002516*M59)*1897*COS(4*S59-R59-2*Q59)  -(1-0.002516*M59)*(1-0.002516*M59)*2117*COS(2*R59-Q59) +(1-0.002516*M59)*(1-0.002516*M59)*2354*COS(2*S59+2*R59-Q59) -1423*COS(4*S59+Q59) -1117*COS(4*Q59) -(1-0.002516*M59)*1571*COS(4*S59-R59)  -1739*COS(S59-2*Q59) -4421*COS(2*Q59-2*T59) +(1-0.002516*M59)*(1-0.002516*M59)*1165*COS(2*R59+Q59) +8752*COS(2*S59-Q59-2*T59))/1000</f>
        <v>373662.951191992</v>
      </c>
      <c r="AY59" s="10" t="n">
        <f aca="false">AY58+1/8</f>
        <v>8.125</v>
      </c>
      <c r="AZ59" s="17" t="n">
        <f aca="false">AZ58+1</f>
        <v>58</v>
      </c>
      <c r="BA59" s="32" t="n">
        <f aca="false">ATAN(0.99664719*TAN($A$4*input!$E$2))</f>
        <v>-0.400219206115995</v>
      </c>
      <c r="BB59" s="32" t="n">
        <f aca="false">COS(BA59)</f>
        <v>0.920975608992155</v>
      </c>
      <c r="BC59" s="32" t="n">
        <f aca="false">0.99664719*SIN(BA59)</f>
        <v>-0.388313912533463</v>
      </c>
      <c r="BD59" s="32" t="n">
        <f aca="false">6378.14/AX59</f>
        <v>0.0170692330605794</v>
      </c>
      <c r="BE59" s="33" t="n">
        <f aca="false">MOD(N59-15*AH59,360)</f>
        <v>67.0493472202373</v>
      </c>
      <c r="BF59" s="27" t="n">
        <f aca="false">COS($A$4*AG59)*SIN($A$4*BE59)</f>
        <v>0.914511870097404</v>
      </c>
      <c r="BG59" s="27" t="n">
        <f aca="false">COS($A$4*AG59)*COS($A$4*BE59)-BB59*BD59</f>
        <v>0.371537690545317</v>
      </c>
      <c r="BH59" s="27" t="n">
        <f aca="false">SIN($A$4*AG59)-BC59*BD59</f>
        <v>-0.110415581234295</v>
      </c>
      <c r="BI59" s="46" t="n">
        <f aca="false">SQRT(BF59^2+BG59^2+BH59^2)</f>
        <v>0.993259189045894</v>
      </c>
      <c r="BJ59" s="35" t="n">
        <f aca="false">AX59*BI59</f>
        <v>371144.159877453</v>
      </c>
    </row>
    <row r="60" customFormat="false" ht="15" hidden="false" customHeight="false" outlineLevel="0" collapsed="false">
      <c r="A60" s="0"/>
      <c r="B60" s="20"/>
      <c r="C60" s="15" t="n">
        <f aca="false">MOD(C59+3,24)</f>
        <v>6</v>
      </c>
      <c r="D60" s="17" t="n">
        <v>8</v>
      </c>
      <c r="E60" s="102" t="n">
        <f aca="false">input!$C$2</f>
        <v>10</v>
      </c>
      <c r="F60" s="102" t="n">
        <f aca="false">input!$D$2</f>
        <v>2022</v>
      </c>
      <c r="G60" s="0"/>
      <c r="H60" s="39" t="n">
        <f aca="false">AM60</f>
        <v>-17.3034334257468</v>
      </c>
      <c r="I60" s="48" t="n">
        <f aca="false">H60+1.02/(TAN($A$4*(H60+10.3/(H60+5.11)))*60)</f>
        <v>-17.3552973544441</v>
      </c>
      <c r="J60" s="39" t="n">
        <f aca="false">100*(1+COS($A$4*AQ60))/2</f>
        <v>96.6635972415256</v>
      </c>
      <c r="K60" s="48" t="n">
        <f aca="false">IF(AI60&gt;180,AT60-180,AT60+180)</f>
        <v>256.010895877528</v>
      </c>
      <c r="L60" s="10" t="n">
        <f aca="false">L59+1/8</f>
        <v>2459860.75</v>
      </c>
      <c r="M60" s="49" t="n">
        <f aca="false">(L60-2451545)/36525</f>
        <v>0.227672826830938</v>
      </c>
      <c r="N60" s="15" t="n">
        <f aca="false">MOD(280.46061837+360.98564736629*(L60-2451545)+0.000387933*M60^2-M60^3/38710000+$G$4,360)</f>
        <v>106.857724704314</v>
      </c>
      <c r="O60" s="18" t="n">
        <f aca="false">0.60643382+1336.85522467*M60 - 0.00000313*M60^2 - INT(0.60643382+1336.85522467*M60 - 0.00000313*M60^2)</f>
        <v>0.972041722083986</v>
      </c>
      <c r="P60" s="15" t="n">
        <f aca="false">22640*SIN(Q60)-4586*SIN(Q60-2*S60)+2370*SIN(2*S60)+769*SIN(2*Q60)-668*SIN(R60)-412*SIN(2*T60)-212*SIN(2*Q60-2*S60)-206*SIN(Q60+R60-2*S60)+192*SIN(Q60+2*S60)-165*SIN(R60-2*S60)-125*SIN(S60)-110*SIN(Q60+R60)+148*SIN(Q60-R60)-55*SIN(2*T60-2*S60)</f>
        <v>15370.5169705045</v>
      </c>
      <c r="Q60" s="18" t="n">
        <f aca="false">2*PI()*(0.374897+1325.55241*M60 - INT(0.374897+1325.55241*M60))</f>
        <v>1.05030540688638</v>
      </c>
      <c r="R60" s="26" t="n">
        <f aca="false">2*PI()*(0.99312619+99.99735956*M60 - 0.00000044*M60^2 - INT(0.99312619+99.99735956*M60- 0.00000044*M60^2))</f>
        <v>4.77401253826483</v>
      </c>
      <c r="S60" s="26" t="n">
        <f aca="false">2*PI()*(0.827361+1236.853086*M60 - INT(0.827361+1236.853086*M60))</f>
        <v>2.67160702601228</v>
      </c>
      <c r="T60" s="26" t="n">
        <f aca="false">2*PI()*(0.259086+1342.227825*M60 - INT(0.259086+1342.227825*M60))</f>
        <v>5.32744476809381</v>
      </c>
      <c r="U60" s="26" t="n">
        <f aca="false">T60+(P60+412*SIN(2*T60)+541*SIN(R60))/206264.8062</f>
        <v>5.39746264160641</v>
      </c>
      <c r="V60" s="26" t="n">
        <f aca="false">T60-2*S60</f>
        <v>-0.0157692839307577</v>
      </c>
      <c r="W60" s="25" t="n">
        <f aca="false">-526*SIN(V60)+44*SIN(Q60+V60)-31*SIN(-Q60+V60)-23*SIN(R60+V60)+11*SIN(-R60+V60)-25*SIN(-2*Q60+T60)+21*SIN(-Q60+T60)</f>
        <v>90.2816906383276</v>
      </c>
      <c r="X60" s="26" t="n">
        <f aca="false">2*PI()*(O60+P60/1296000-INT(O60+P60/1296000))</f>
        <v>6.18203663529391</v>
      </c>
      <c r="Y60" s="26" t="n">
        <f aca="false">(18520*SIN(U60)+W60)/206264.8062</f>
        <v>-0.0690912627749408</v>
      </c>
      <c r="Z60" s="26" t="n">
        <f aca="false">Y60*180/PI()</f>
        <v>-3.95863775823344</v>
      </c>
      <c r="AA60" s="26" t="n">
        <f aca="false">COS(Y60)*COS(X60)</f>
        <v>0.992515175547573</v>
      </c>
      <c r="AB60" s="26" t="n">
        <f aca="false">COS(Y60)*SIN(X60)</f>
        <v>-0.100735369377391</v>
      </c>
      <c r="AC60" s="26" t="n">
        <f aca="false">SIN(Y60)</f>
        <v>-0.0690363068549577</v>
      </c>
      <c r="AD60" s="26" t="n">
        <f aca="false">COS($A$4*(23.4393-46.815*M60/3600))*AB60-SIN($A$4*(23.4393-46.815*M60/3600))*AC60</f>
        <v>-0.0649671560795788</v>
      </c>
      <c r="AE60" s="26" t="n">
        <f aca="false">SIN($A$4*(23.4393-46.815*M60/3600))*AB60+COS($A$4*(23.4393-46.815*M60/3600))*AC60</f>
        <v>-0.103406455014679</v>
      </c>
      <c r="AF60" s="26" t="n">
        <f aca="false">SQRT(1-AE60*AE60)</f>
        <v>0.994639183353088</v>
      </c>
      <c r="AG60" s="10" t="n">
        <f aca="false">ATAN(AE60/AF60)/$A$4</f>
        <v>-5.93536337369146</v>
      </c>
      <c r="AH60" s="26" t="n">
        <f aca="false">IF(24*ATAN(AD60/(AA60+AF60))/PI()&gt;0,24*ATAN(AD60/(AA60+AF60))/PI(),24*ATAN(AD60/(AA60+AF60))/PI()+24)</f>
        <v>23.7503285069706</v>
      </c>
      <c r="AI60" s="10" t="n">
        <f aca="false">IF(N60-15*AH60&gt;0,N60-15*AH60,360+N60-15*AH60)</f>
        <v>110.602797099755</v>
      </c>
      <c r="AJ60" s="18" t="n">
        <f aca="false">0.950724+0.051818*COS(Q60)+0.009531*COS(2*S60-Q60)+0.007843*COS(2*S60)+0.002824*COS(2*Q60)+0.000857*COS(2*S60+Q60)+0.000533*COS(2*S60-R60)+0.000401*COS(2*S60-R60-Q60)+0.00032*COS(Q60-R60)-0.000271*COS(S60)</f>
        <v>0.977440833515802</v>
      </c>
      <c r="AK60" s="50" t="n">
        <f aca="false">ASIN(COS($A$4*$G$2)*COS($A$4*AG60)*COS($A$4*AI60)+SIN($A$4*$G$2)*SIN($A$4*AG60))/$A$4</f>
        <v>-16.3660779745031</v>
      </c>
      <c r="AL60" s="18" t="n">
        <f aca="false">ASIN((0.9983271+0.0016764*COS($A$4*2*$G$2))*COS($A$4*AK60)*SIN($A$4*AJ60))/$A$4</f>
        <v>0.937355451243665</v>
      </c>
      <c r="AM60" s="18" t="n">
        <f aca="false">AK60-AL60</f>
        <v>-17.3034334257468</v>
      </c>
      <c r="AN60" s="10" t="n">
        <f aca="false"> IF(280.4664567 + 360007.6982779*M60/10 + 0.03032028*M60^2/100 + M60^3/49931000&lt;0,MOD(280.4664567 + 360007.6982779*M60/10 + 0.03032028*M60^2/100 + M60^3/49931000+360,360),MOD(280.4664567 + 360007.6982779*M60/10 + 0.03032028*M60^2/100 + M60^3/49931000,360))</f>
        <v>196.863507199609</v>
      </c>
      <c r="AO60" s="27" t="n">
        <f aca="false"> AN60 + (1.9146 - 0.004817*M60 - 0.000014*M60^2)*SIN(R60)+ (0.019993 - 0.000101*M60)*SIN(2*R60)+ 0.00029*SIN(3*R60)</f>
        <v>194.951466742347</v>
      </c>
      <c r="AP60" s="18" t="n">
        <f aca="false">ACOS(COS(X60-$A$4*AO60)*COS(Y60))/$A$4</f>
        <v>158.895218985827</v>
      </c>
      <c r="AQ60" s="25" t="n">
        <f aca="false">180 - AP60 -0.1468*(1-0.0549*SIN(R60))*SIN($A$4*AP60)/(1-0.0167*SIN($A$4*AO60))</f>
        <v>21.0492648038277</v>
      </c>
      <c r="AR60" s="25" t="n">
        <f aca="false">SIN($A$4*AI60)</f>
        <v>0.936042358206765</v>
      </c>
      <c r="AS60" s="25" t="n">
        <f aca="false">COS($A$4*AI60)*SIN($A$4*$G$2) - TAN($A$4*AG60)*COS($A$4*$G$2)</f>
        <v>0.233192508872525</v>
      </c>
      <c r="AT60" s="25" t="n">
        <f aca="false">IF(OR(AND(AR60*AS60&gt;0), AND(AR60&lt;0,AS60&gt;0)), MOD(ATAN2(AS60,AR60)/$A$4+360,360),  ATAN2(AS60,AR60)/$A$4)</f>
        <v>76.0108958775277</v>
      </c>
      <c r="AU60" s="29" t="n">
        <f aca="false">(1+SIN($A$4*H60)*SIN($A$4*AJ60))*120*ASIN(0.272481*SIN($A$4*AJ60))/$A$4</f>
        <v>31.7964993035266</v>
      </c>
      <c r="AV60" s="10" t="n">
        <f aca="false">COS(X60)</f>
        <v>0.994888833036683</v>
      </c>
      <c r="AW60" s="10" t="n">
        <f aca="false">SIN(X60)</f>
        <v>-0.100976283843821</v>
      </c>
      <c r="AX60" s="30" t="n">
        <f aca="false"> 385000.56 + (-20905355*COS(Q60) - 3699111*COS(2*S60-Q60) - 2955968*COS(2*S60) - 569925*COS(2*Q60) + (1-0.002516*M60)*48888*COS(R60) - 3149*COS(2*T60)  +246158*COS(2*S60-2*Q60) -(1-0.002516*M60)*152138*COS(2*S60-R60-Q60) -170733*COS(2*S60+Q60) -(1-0.002516*M60)*204586*COS(2*S60-R60) -(1-0.002516*M60)*129620*COS(R60-Q60)  + 108743*COS(S60) +(1-0.002516*M60)*104755*COS(R60+Q60) +10321*COS(2*S60-2*T60) +79661*COS(Q60-2*T60) -34782*COS(4*S60-Q60) -23210*COS(3*Q60)  -21636*COS(4*S60-2*Q60) +(1-0.002516*M60)*24208*COS(2*S60+R60-Q60) +(1-0.002516*M60)*30824*COS(2*S60+R60) -8379*COS(S60-Q60) -(1-0.002516*M60)*16675*COS(S60+R60)  -(1-0.002516*M60)*12831*COS(2*S60-R60+Q60) -10445*COS(2*S60+2*Q60) -11650*COS(4*S60) +14403*COS(2*S60-3*Q60) -(1-0.002516*M60)*7003*COS(R60-2*Q60)  + (1-0.002516*M60)*10056*COS(2*S60-R60-2*Q60) +6322*COS(S60+Q60) -(1-0.002516*M60)*(1-0.002516*M60)*9884*COS(2*S60-2*R60) +(1-0.002516*M60)*5751*COS(R60+2*Q60) -(1-0.002516*M60)*(1-0.002516*M60)*4950*COS(2*S60-2*R60-Q60)  +4130*COS(2*S60+Q60-2*T60) -(1-0.002516*M60)*3958*COS(4*S60-R60-Q60) +3258*COS(3*S60-Q60) +(1-0.002516*M60)*2616*COS(2*S60+R60+Q60) -(1-0.002516*M60)*1897*COS(4*S60-R60-2*Q60)  -(1-0.002516*M60)*(1-0.002516*M60)*2117*COS(2*R60-Q60) +(1-0.002516*M60)*(1-0.002516*M60)*2354*COS(2*S60+2*R60-Q60) -1423*COS(4*S60+Q60) -1117*COS(4*Q60) -(1-0.002516*M60)*1571*COS(4*S60-R60)  -1739*COS(S60-2*Q60) -4421*COS(2*Q60-2*T60) +(1-0.002516*M60)*(1-0.002516*M60)*1165*COS(2*R60+Q60) +8752*COS(2*S60-Q60-2*T60))/1000</f>
        <v>374001.273670566</v>
      </c>
      <c r="AY60" s="10" t="n">
        <f aca="false">AY59+1/8</f>
        <v>8.25</v>
      </c>
      <c r="AZ60" s="17" t="n">
        <f aca="false">AZ59+1</f>
        <v>59</v>
      </c>
      <c r="BA60" s="32" t="n">
        <f aca="false">ATAN(0.99664719*TAN($A$4*input!$E$2))</f>
        <v>-0.400219206115995</v>
      </c>
      <c r="BB60" s="32" t="n">
        <f aca="false">COS(BA60)</f>
        <v>0.920975608992155</v>
      </c>
      <c r="BC60" s="32" t="n">
        <f aca="false">0.99664719*SIN(BA60)</f>
        <v>-0.388313912533463</v>
      </c>
      <c r="BD60" s="32" t="n">
        <f aca="false">6378.14/AX60</f>
        <v>0.0170537921900718</v>
      </c>
      <c r="BE60" s="33" t="n">
        <f aca="false">MOD(N60-15*AH60,360)</f>
        <v>110.602797099755</v>
      </c>
      <c r="BF60" s="27" t="n">
        <f aca="false">COS($A$4*AG60)*SIN($A$4*BE60)</f>
        <v>0.931024406750675</v>
      </c>
      <c r="BG60" s="27" t="n">
        <f aca="false">COS($A$4*AG60)*COS($A$4*BE60)-BB60*BD60</f>
        <v>-0.365707068212112</v>
      </c>
      <c r="BH60" s="27" t="n">
        <f aca="false">SIN($A$4*AG60)-BC60*BD60</f>
        <v>-0.0967842302458197</v>
      </c>
      <c r="BI60" s="46" t="n">
        <f aca="false">SQRT(BF60^2+BG60^2+BH60^2)</f>
        <v>1.00494541788598</v>
      </c>
      <c r="BJ60" s="35" t="n">
        <f aca="false">AX60*BI60</f>
        <v>375850.866258754</v>
      </c>
    </row>
    <row r="61" customFormat="false" ht="15" hidden="false" customHeight="false" outlineLevel="0" collapsed="false">
      <c r="A61" s="0"/>
      <c r="B61" s="20"/>
      <c r="C61" s="15" t="n">
        <f aca="false">MOD(C60+3,24)</f>
        <v>9</v>
      </c>
      <c r="D61" s="17" t="n">
        <v>8</v>
      </c>
      <c r="E61" s="102" t="n">
        <f aca="false">input!$C$2</f>
        <v>10</v>
      </c>
      <c r="F61" s="102" t="n">
        <f aca="false">input!$D$2</f>
        <v>2022</v>
      </c>
      <c r="G61" s="0"/>
      <c r="H61" s="39" t="n">
        <f aca="false">AM61</f>
        <v>-52.7935826798522</v>
      </c>
      <c r="I61" s="48" t="n">
        <f aca="false">H61+1.02/(TAN($A$4*(H61+10.3/(H61+5.11)))*60)</f>
        <v>-52.8063886381362</v>
      </c>
      <c r="J61" s="39" t="n">
        <f aca="false">100*(1+COS($A$4*AQ61))/2</f>
        <v>97.1484111700052</v>
      </c>
      <c r="K61" s="48" t="n">
        <f aca="false">IF(AI61&gt;180,AT61-180,AT61+180)</f>
        <v>225.08132761052</v>
      </c>
      <c r="L61" s="10" t="n">
        <f aca="false">L60+1/8</f>
        <v>2459860.875</v>
      </c>
      <c r="M61" s="49" t="n">
        <f aca="false">(L61-2451545)/36525</f>
        <v>0.227676249144422</v>
      </c>
      <c r="N61" s="15" t="n">
        <f aca="false">MOD(280.46061837+360.98564736629*(L61-2451545)+0.000387933*M61^2-M61^3/38710000+$G$4,360)</f>
        <v>151.980930625461</v>
      </c>
      <c r="O61" s="18" t="n">
        <f aca="false">0.60643382+1336.85522467*M61 - 0.00000313*M61^2 - INT(0.60643382+1336.85522467*M61 - 0.00000313*M61^2)</f>
        <v>0.976616859740545</v>
      </c>
      <c r="P61" s="15" t="n">
        <f aca="false">22640*SIN(Q61)-4586*SIN(Q61-2*S61)+2370*SIN(2*S61)+769*SIN(2*Q61)-668*SIN(R61)-412*SIN(2*T61)-212*SIN(2*Q61-2*S61)-206*SIN(Q61+R61-2*S61)+192*SIN(Q61+2*S61)-165*SIN(R61-2*S61)-125*SIN(S61)-110*SIN(Q61+R61)+148*SIN(Q61-R61)-55*SIN(2*T61-2*S61)</f>
        <v>15723.5268356096</v>
      </c>
      <c r="Q61" s="18" t="n">
        <f aca="false">2*PI()*(0.374897+1325.55241*M61 - INT(0.374897+1325.55241*M61))</f>
        <v>1.07880879985854</v>
      </c>
      <c r="R61" s="26" t="n">
        <f aca="false">2*PI()*(0.99312619+99.99735956*M61 - 0.00000044*M61^2 - INT(0.99312619+99.99735956*M61- 0.00000044*M61^2))</f>
        <v>4.77616278446294</v>
      </c>
      <c r="S61" s="26" t="n">
        <f aca="false">2*PI()*(0.827361+1236.853086*M61 - INT(0.827361+1236.853086*M61))</f>
        <v>2.69820311477756</v>
      </c>
      <c r="T61" s="26" t="n">
        <f aca="false">2*PI()*(0.259086+1342.227825*M61 - INT(0.259086+1342.227825*M61))</f>
        <v>5.35630673301157</v>
      </c>
      <c r="U61" s="26" t="n">
        <f aca="false">T61+(P61+412*SIN(2*T61)+541*SIN(R61))/206264.8062</f>
        <v>5.42800103168776</v>
      </c>
      <c r="V61" s="26" t="n">
        <f aca="false">T61-2*S61</f>
        <v>-0.0400994965435579</v>
      </c>
      <c r="W61" s="25" t="n">
        <f aca="false">-526*SIN(V61)+44*SIN(Q61+V61)-31*SIN(-Q61+V61)-23*SIN(R61+V61)+11*SIN(-R61+V61)-25*SIN(-2*Q61+T61)+21*SIN(-Q61+T61)</f>
        <v>103.207707830001</v>
      </c>
      <c r="X61" s="26" t="n">
        <f aca="false">2*PI()*(O61+P61/1296000-INT(O61+P61/1296000))</f>
        <v>6.21249451311763</v>
      </c>
      <c r="Y61" s="26" t="n">
        <f aca="false">(18520*SIN(U61)+W61)/206264.8062</f>
        <v>-0.067261522739052</v>
      </c>
      <c r="Z61" s="26" t="n">
        <f aca="false">Y61*180/PI()</f>
        <v>-3.8538013765709</v>
      </c>
      <c r="AA61" s="26" t="n">
        <f aca="false">COS(Y61)*COS(X61)</f>
        <v>0.995246890084441</v>
      </c>
      <c r="AB61" s="26" t="n">
        <f aca="false">COS(Y61)*SIN(X61)</f>
        <v>-0.07047221972576</v>
      </c>
      <c r="AC61" s="26" t="n">
        <f aca="false">SIN(Y61)</f>
        <v>-0.0672108177615228</v>
      </c>
      <c r="AD61" s="26" t="n">
        <f aca="false">COS($A$4*(23.4393-46.815*M61/3600))*AB61-SIN($A$4*(23.4393-46.815*M61/3600))*AC61</f>
        <v>-0.0379266906293897</v>
      </c>
      <c r="AE61" s="26" t="n">
        <f aca="false">SIN($A$4*(23.4393-46.815*M61/3600))*AB61+COS($A$4*(23.4393-46.815*M61/3600))*AC61</f>
        <v>-0.0896950049620992</v>
      </c>
      <c r="AF61" s="26" t="n">
        <f aca="false">SQRT(1-AE61*AE61)</f>
        <v>0.995969279689313</v>
      </c>
      <c r="AG61" s="10" t="n">
        <f aca="false">ATAN(AE61/AF61)/$A$4</f>
        <v>-5.14606119857276</v>
      </c>
      <c r="AH61" s="26" t="n">
        <f aca="false">IF(24*ATAN(AD61/(AA61+AF61))/PI()&gt;0,24*ATAN(AD61/(AA61+AF61))/PI(),24*ATAN(AD61/(AA61+AF61))/PI()+24)</f>
        <v>23.8545092451647</v>
      </c>
      <c r="AI61" s="10" t="n">
        <f aca="false">IF(N61-15*AH61&gt;0,N61-15*AH61,360+N61-15*AH61)</f>
        <v>154.163291947991</v>
      </c>
      <c r="AJ61" s="18" t="n">
        <f aca="false">0.950724+0.051818*COS(Q61)+0.009531*COS(2*S61-Q61)+0.007843*COS(2*S61)+0.002824*COS(2*Q61)+0.000857*COS(2*S61+Q61)+0.000533*COS(2*S61-R61)+0.000401*COS(2*S61-R61-Q61)+0.00032*COS(Q61-R61)-0.000271*COS(S61)</f>
        <v>0.976535825379562</v>
      </c>
      <c r="AK61" s="50" t="n">
        <f aca="false">ASIN(COS($A$4*$G$2)*COS($A$4*AG61)*COS($A$4*AI61)+SIN($A$4*$G$2)*SIN($A$4*AG61))/$A$4</f>
        <v>-52.1953163116068</v>
      </c>
      <c r="AL61" s="18" t="n">
        <f aca="false">ASIN((0.9983271+0.0016764*COS($A$4*2*$G$2))*COS($A$4*AK61)*SIN($A$4*AJ61))/$A$4</f>
        <v>0.598266368245365</v>
      </c>
      <c r="AM61" s="18" t="n">
        <f aca="false">AK61-AL61</f>
        <v>-52.7935826798522</v>
      </c>
      <c r="AN61" s="10" t="n">
        <f aca="false"> IF(280.4664567 + 360007.6982779*M61/10 + 0.03032028*M61^2/100 + M61^3/49931000&lt;0,MOD(280.4664567 + 360007.6982779*M61/10 + 0.03032028*M61^2/100 + M61^3/49931000+360,360),MOD(280.4664567 + 360007.6982779*M61/10 + 0.03032028*M61^2/100 + M61^3/49931000,360))</f>
        <v>196.986713120094</v>
      </c>
      <c r="AO61" s="27" t="n">
        <f aca="false"> AN61 + (1.9146 - 0.004817*M61 - 0.000014*M61^2)*SIN(R61)+ (0.019993 - 0.000101*M61)*SIN(2*R61)+ 0.00029*SIN(3*R61)</f>
        <v>195.074844927879</v>
      </c>
      <c r="AP61" s="18" t="n">
        <f aca="false">ACOS(COS(X61-$A$4*AO61)*COS(Y61))/$A$4</f>
        <v>160.504707040763</v>
      </c>
      <c r="AQ61" s="25" t="n">
        <f aca="false">180 - AP61 -0.1468*(1-0.0549*SIN(R61))*SIN($A$4*AP61)/(1-0.0167*SIN($A$4*AO61))</f>
        <v>19.4438407908848</v>
      </c>
      <c r="AR61" s="25" t="n">
        <f aca="false">SIN($A$4*AI61)</f>
        <v>0.435807822970945</v>
      </c>
      <c r="AS61" s="25" t="n">
        <f aca="false">COS($A$4*AI61)*SIN($A$4*$G$2) - TAN($A$4*AG61)*COS($A$4*$G$2)</f>
        <v>0.434572374394509</v>
      </c>
      <c r="AT61" s="25" t="n">
        <f aca="false">IF(OR(AND(AR61*AS61&gt;0), AND(AR61&lt;0,AS61&gt;0)), MOD(ATAN2(AS61,AR61)/$A$4+360,360),  ATAN2(AS61,AR61)/$A$4)</f>
        <v>45.0813276105197</v>
      </c>
      <c r="AU61" s="29" t="n">
        <f aca="false">(1+SIN($A$4*H61)*SIN($A$4*AJ61))*120*ASIN(0.272481*SIN($A$4*AJ61))/$A$4</f>
        <v>31.4956569057873</v>
      </c>
      <c r="AV61" s="10" t="n">
        <f aca="false">COS(X61)</f>
        <v>0.997502446139623</v>
      </c>
      <c r="AW61" s="10" t="n">
        <f aca="false">SIN(X61)</f>
        <v>-0.0706319329019661</v>
      </c>
      <c r="AX61" s="30" t="n">
        <f aca="false"> 385000.56 + (-20905355*COS(Q61) - 3699111*COS(2*S61-Q61) - 2955968*COS(2*S61) - 569925*COS(2*Q61) + (1-0.002516*M61)*48888*COS(R61) - 3149*COS(2*T61)  +246158*COS(2*S61-2*Q61) -(1-0.002516*M61)*152138*COS(2*S61-R61-Q61) -170733*COS(2*S61+Q61) -(1-0.002516*M61)*204586*COS(2*S61-R61) -(1-0.002516*M61)*129620*COS(R61-Q61)  + 108743*COS(S61) +(1-0.002516*M61)*104755*COS(R61+Q61) +10321*COS(2*S61-2*T61) +79661*COS(Q61-2*T61) -34782*COS(4*S61-Q61) -23210*COS(3*Q61)  -21636*COS(4*S61-2*Q61) +(1-0.002516*M61)*24208*COS(2*S61+R61-Q61) +(1-0.002516*M61)*30824*COS(2*S61+R61) -8379*COS(S61-Q61) -(1-0.002516*M61)*16675*COS(S61+R61)  -(1-0.002516*M61)*12831*COS(2*S61-R61+Q61) -10445*COS(2*S61+2*Q61) -11650*COS(4*S61) +14403*COS(2*S61-3*Q61) -(1-0.002516*M61)*7003*COS(R61-2*Q61)  + (1-0.002516*M61)*10056*COS(2*S61-R61-2*Q61) +6322*COS(S61+Q61) -(1-0.002516*M61)*(1-0.002516*M61)*9884*COS(2*S61-2*R61) +(1-0.002516*M61)*5751*COS(R61+2*Q61) -(1-0.002516*M61)*(1-0.002516*M61)*4950*COS(2*S61-2*R61-Q61)  +4130*COS(2*S61+Q61-2*T61) -(1-0.002516*M61)*3958*COS(4*S61-R61-Q61) +3258*COS(3*S61-Q61) +(1-0.002516*M61)*2616*COS(2*S61+R61+Q61) -(1-0.002516*M61)*1897*COS(4*S61-R61-2*Q61)  -(1-0.002516*M61)*(1-0.002516*M61)*2117*COS(2*R61-Q61) +(1-0.002516*M61)*(1-0.002516*M61)*2354*COS(2*S61+2*R61-Q61) -1423*COS(4*S61+Q61) -1117*COS(4*Q61) -(1-0.002516*M61)*1571*COS(4*S61-R61)  -1739*COS(S61-2*Q61) -4421*COS(2*Q61-2*T61) +(1-0.002516*M61)*(1-0.002516*M61)*1165*COS(2*R61+Q61) +8752*COS(2*S61-Q61-2*T61))/1000</f>
        <v>374352.418223352</v>
      </c>
      <c r="AY61" s="10" t="n">
        <f aca="false">AY60+1/8</f>
        <v>8.375</v>
      </c>
      <c r="AZ61" s="17" t="n">
        <f aca="false">AZ60+1</f>
        <v>60</v>
      </c>
      <c r="BA61" s="32" t="n">
        <f aca="false">ATAN(0.99664719*TAN($A$4*input!$E$2))</f>
        <v>-0.400219206115995</v>
      </c>
      <c r="BB61" s="32" t="n">
        <f aca="false">COS(BA61)</f>
        <v>0.920975608992155</v>
      </c>
      <c r="BC61" s="32" t="n">
        <f aca="false">0.99664719*SIN(BA61)</f>
        <v>-0.388313912533463</v>
      </c>
      <c r="BD61" s="32" t="n">
        <f aca="false">6378.14/AX61</f>
        <v>0.0170377956425931</v>
      </c>
      <c r="BE61" s="33" t="n">
        <f aca="false">MOD(N61-15*AH61,360)</f>
        <v>154.163291947991</v>
      </c>
      <c r="BF61" s="27" t="n">
        <f aca="false">COS($A$4*AG61)*SIN($A$4*BE61)</f>
        <v>0.43405120352734</v>
      </c>
      <c r="BG61" s="27" t="n">
        <f aca="false">COS($A$4*AG61)*COS($A$4*BE61)-BB61*BD61</f>
        <v>-0.912103330105177</v>
      </c>
      <c r="BH61" s="27" t="n">
        <f aca="false">SIN($A$4*AG61)-BC61*BD61</f>
        <v>-0.0830789918751782</v>
      </c>
      <c r="BI61" s="46" t="n">
        <f aca="false">SQRT(BF61^2+BG61^2+BH61^2)</f>
        <v>1.01352604848789</v>
      </c>
      <c r="BJ61" s="35" t="n">
        <f aca="false">AX61*BI61</f>
        <v>379415.927183801</v>
      </c>
    </row>
    <row r="62" customFormat="false" ht="15" hidden="false" customHeight="false" outlineLevel="0" collapsed="false">
      <c r="A62" s="0"/>
      <c r="B62" s="20"/>
      <c r="C62" s="15" t="n">
        <f aca="false">MOD(C61+3,24)</f>
        <v>12</v>
      </c>
      <c r="D62" s="17" t="n">
        <v>8</v>
      </c>
      <c r="E62" s="102" t="n">
        <f aca="false">input!$C$2</f>
        <v>10</v>
      </c>
      <c r="F62" s="102" t="n">
        <f aca="false">input!$D$2</f>
        <v>2022</v>
      </c>
      <c r="G62" s="0"/>
      <c r="H62" s="39" t="n">
        <f aca="false">AM62</f>
        <v>-58.1495376863192</v>
      </c>
      <c r="I62" s="48" t="n">
        <f aca="false">H62+1.02/(TAN($A$4*(H62+10.3/(H62+5.11)))*60)</f>
        <v>-58.1600191835682</v>
      </c>
      <c r="J62" s="39" t="n">
        <f aca="false">100*(1+COS($A$4*AQ62))/2</f>
        <v>97.5948796290291</v>
      </c>
      <c r="K62" s="48" t="n">
        <f aca="false">IF(AI62&gt;180,AT62-180,AT62+180)</f>
        <v>145.449047290323</v>
      </c>
      <c r="L62" s="10" t="n">
        <f aca="false">L61+1/8</f>
        <v>2459861</v>
      </c>
      <c r="M62" s="49" t="n">
        <f aca="false">(L62-2451545)/36525</f>
        <v>0.227679671457906</v>
      </c>
      <c r="N62" s="15" t="n">
        <f aca="false">MOD(280.46061837+360.98564736629*(L62-2451545)+0.000387933*M62^2-M62^3/38710000+$G$4,360)</f>
        <v>197.104136546608</v>
      </c>
      <c r="O62" s="18" t="n">
        <f aca="false">0.60643382+1336.85522467*M62 - 0.00000313*M62^2 - INT(0.60643382+1336.85522467*M62 - 0.00000313*M62^2)</f>
        <v>0.981191997397104</v>
      </c>
      <c r="P62" s="15" t="n">
        <f aca="false">22640*SIN(Q62)-4586*SIN(Q62-2*S62)+2370*SIN(2*S62)+769*SIN(2*Q62)-668*SIN(R62)-412*SIN(2*T62)-212*SIN(2*Q62-2*S62)-206*SIN(Q62+R62-2*S62)+192*SIN(Q62+2*S62)-165*SIN(R62-2*S62)-125*SIN(S62)-110*SIN(Q62+R62)+148*SIN(Q62-R62)-55*SIN(2*T62-2*S62)</f>
        <v>16064.1926780053</v>
      </c>
      <c r="Q62" s="18" t="n">
        <f aca="false">2*PI()*(0.374897+1325.55241*M62 - INT(0.374897+1325.55241*M62))</f>
        <v>1.10731219283034</v>
      </c>
      <c r="R62" s="26" t="n">
        <f aca="false">2*PI()*(0.99312619+99.99735956*M62 - 0.00000044*M62^2 - INT(0.99312619+99.99735956*M62- 0.00000044*M62^2))</f>
        <v>4.77831303066104</v>
      </c>
      <c r="S62" s="26" t="n">
        <f aca="false">2*PI()*(0.827361+1236.853086*M62 - INT(0.827361+1236.853086*M62))</f>
        <v>2.72479920354213</v>
      </c>
      <c r="T62" s="26" t="n">
        <f aca="false">2*PI()*(0.259086+1342.227825*M62 - INT(0.259086+1342.227825*M62))</f>
        <v>5.38516869792897</v>
      </c>
      <c r="U62" s="26" t="n">
        <f aca="false">T62+(P62+412*SIN(2*T62)+541*SIN(R62))/206264.8062</f>
        <v>5.45848597746306</v>
      </c>
      <c r="V62" s="26" t="n">
        <f aca="false">T62-2*S62</f>
        <v>-0.064429709155287</v>
      </c>
      <c r="W62" s="25" t="n">
        <f aca="false">-526*SIN(V62)+44*SIN(Q62+V62)-31*SIN(-Q62+V62)-23*SIN(R62+V62)+11*SIN(-R62+V62)-25*SIN(-2*Q62+T62)+21*SIN(-Q62+T62)</f>
        <v>116.022643547335</v>
      </c>
      <c r="X62" s="26" t="n">
        <f aca="false">2*PI()*(O62+P62/1296000-INT(O62+P62/1296000))</f>
        <v>6.24289254543044</v>
      </c>
      <c r="Y62" s="26" t="n">
        <f aca="false">(18520*SIN(U62)+W62)/206264.8062</f>
        <v>-0.0653723891697815</v>
      </c>
      <c r="Z62" s="26" t="n">
        <f aca="false">Y62*180/PI()</f>
        <v>-3.74556199611521</v>
      </c>
      <c r="AA62" s="26" t="n">
        <f aca="false">COS(Y62)*COS(X62)</f>
        <v>0.997054076401353</v>
      </c>
      <c r="AB62" s="26" t="n">
        <f aca="false">COS(Y62)*SIN(X62)</f>
        <v>-0.0401958174318212</v>
      </c>
      <c r="AC62" s="26" t="n">
        <f aca="false">SIN(Y62)</f>
        <v>-0.0653258370970674</v>
      </c>
      <c r="AD62" s="26" t="n">
        <f aca="false">COS($A$4*(23.4393-46.815*M62/3600))*AB62-SIN($A$4*(23.4393-46.815*M62/3600))*AC62</f>
        <v>-0.0108977274005161</v>
      </c>
      <c r="AE62" s="26" t="n">
        <f aca="false">SIN($A$4*(23.4393-46.815*M62/3600))*AB62+COS($A$4*(23.4393-46.815*M62/3600))*AC62</f>
        <v>-0.0759237003112265</v>
      </c>
      <c r="AF62" s="26" t="n">
        <f aca="false">SQRT(1-AE62*AE62)</f>
        <v>0.997113630300505</v>
      </c>
      <c r="AG62" s="10" t="n">
        <f aca="false">ATAN(AE62/AF62)/$A$4</f>
        <v>-4.35429777059131</v>
      </c>
      <c r="AH62" s="26" t="n">
        <f aca="false">IF(24*ATAN(AD62/(AA62+AF62))/PI()&gt;0,24*ATAN(AD62/(AA62+AF62))/PI(),24*ATAN(AD62/(AA62+AF62))/PI()+24)</f>
        <v>23.9582524198805</v>
      </c>
      <c r="AI62" s="10" t="n">
        <f aca="false">IF(N62-15*AH62&gt;0,N62-15*AH62,360+N62-15*AH62)</f>
        <v>197.730350248401</v>
      </c>
      <c r="AJ62" s="18" t="n">
        <f aca="false">0.950724+0.051818*COS(Q62)+0.009531*COS(2*S62-Q62)+0.007843*COS(2*S62)+0.002824*COS(2*Q62)+0.000857*COS(2*S62+Q62)+0.000533*COS(2*S62-R62)+0.000401*COS(2*S62-R62-Q62)+0.00032*COS(Q62-R62)-0.000271*COS(S62)</f>
        <v>0.975597318707576</v>
      </c>
      <c r="AK62" s="50" t="n">
        <f aca="false">ASIN(COS($A$4*$G$2)*COS($A$4*AG62)*COS($A$4*AI62)+SIN($A$4*$G$2)*SIN($A$4*AG62))/$A$4</f>
        <v>-57.627464974022</v>
      </c>
      <c r="AL62" s="18" t="n">
        <f aca="false">ASIN((0.9983271+0.0016764*COS($A$4*2*$G$2))*COS($A$4*AK62)*SIN($A$4*AJ62))/$A$4</f>
        <v>0.522072712297233</v>
      </c>
      <c r="AM62" s="18" t="n">
        <f aca="false">AK62-AL62</f>
        <v>-58.1495376863192</v>
      </c>
      <c r="AN62" s="10" t="n">
        <f aca="false"> IF(280.4664567 + 360007.6982779*M62/10 + 0.03032028*M62^2/100 + M62^3/49931000&lt;0,MOD(280.4664567 + 360007.6982779*M62/10 + 0.03032028*M62^2/100 + M62^3/49931000+360,360),MOD(280.4664567 + 360007.6982779*M62/10 + 0.03032028*M62^2/100 + M62^3/49931000,360))</f>
        <v>197.109919040578</v>
      </c>
      <c r="AO62" s="27" t="n">
        <f aca="false"> AN62 + (1.9146 - 0.004817*M62 - 0.000014*M62^2)*SIN(R62)+ (0.019993 - 0.000101*M62)*SIN(2*R62)+ 0.00029*SIN(3*R62)</f>
        <v>195.198231977743</v>
      </c>
      <c r="AP62" s="18" t="n">
        <f aca="false">ACOS(COS(X62-$A$4*AO62)*COS(Y62))/$A$4</f>
        <v>162.109244865678</v>
      </c>
      <c r="AQ62" s="25" t="n">
        <f aca="false">180 - AP62 -0.1468*(1-0.0549*SIN(R62))*SIN($A$4*AP62)/(1-0.0167*SIN($A$4*AO62))</f>
        <v>17.8433946010616</v>
      </c>
      <c r="AR62" s="25" t="n">
        <f aca="false">SIN($A$4*AI62)</f>
        <v>-0.304537654240042</v>
      </c>
      <c r="AS62" s="25" t="n">
        <f aca="false">COS($A$4*AI62)*SIN($A$4*$G$2) - TAN($A$4*AG62)*COS($A$4*$G$2)</f>
        <v>0.442261957768409</v>
      </c>
      <c r="AT62" s="25" t="n">
        <f aca="false">IF(OR(AND(AR62*AS62&gt;0), AND(AR62&lt;0,AS62&gt;0)), MOD(ATAN2(AS62,AR62)/$A$4+360,360),  ATAN2(AS62,AR62)/$A$4)</f>
        <v>325.449047290323</v>
      </c>
      <c r="AU62" s="29" t="n">
        <f aca="false">(1+SIN($A$4*H62)*SIN($A$4*AJ62))*120*ASIN(0.272481*SIN($A$4*AJ62))/$A$4</f>
        <v>31.4370396646695</v>
      </c>
      <c r="AV62" s="10" t="n">
        <f aca="false">COS(X62)</f>
        <v>0.99918835649328</v>
      </c>
      <c r="AW62" s="10" t="n">
        <f aca="false">SIN(X62)</f>
        <v>-0.0402818600396937</v>
      </c>
      <c r="AX62" s="30" t="n">
        <f aca="false"> 385000.56 + (-20905355*COS(Q62) - 3699111*COS(2*S62-Q62) - 2955968*COS(2*S62) - 569925*COS(2*Q62) + (1-0.002516*M62)*48888*COS(R62) - 3149*COS(2*T62)  +246158*COS(2*S62-2*Q62) -(1-0.002516*M62)*152138*COS(2*S62-R62-Q62) -170733*COS(2*S62+Q62) -(1-0.002516*M62)*204586*COS(2*S62-R62) -(1-0.002516*M62)*129620*COS(R62-Q62)  + 108743*COS(S62) +(1-0.002516*M62)*104755*COS(R62+Q62) +10321*COS(2*S62-2*T62) +79661*COS(Q62-2*T62) -34782*COS(4*S62-Q62) -23210*COS(3*Q62)  -21636*COS(4*S62-2*Q62) +(1-0.002516*M62)*24208*COS(2*S62+R62-Q62) +(1-0.002516*M62)*30824*COS(2*S62+R62) -8379*COS(S62-Q62) -(1-0.002516*M62)*16675*COS(S62+R62)  -(1-0.002516*M62)*12831*COS(2*S62-R62+Q62) -10445*COS(2*S62+2*Q62) -11650*COS(4*S62) +14403*COS(2*S62-3*Q62) -(1-0.002516*M62)*7003*COS(R62-2*Q62)  + (1-0.002516*M62)*10056*COS(2*S62-R62-2*Q62) +6322*COS(S62+Q62) -(1-0.002516*M62)*(1-0.002516*M62)*9884*COS(2*S62-2*R62) +(1-0.002516*M62)*5751*COS(R62+2*Q62) -(1-0.002516*M62)*(1-0.002516*M62)*4950*COS(2*S62-2*R62-Q62)  +4130*COS(2*S62+Q62-2*T62) -(1-0.002516*M62)*3958*COS(4*S62-R62-Q62) +3258*COS(3*S62-Q62) +(1-0.002516*M62)*2616*COS(2*S62+R62+Q62) -(1-0.002516*M62)*1897*COS(4*S62-R62-2*Q62)  -(1-0.002516*M62)*(1-0.002516*M62)*2117*COS(2*R62-Q62) +(1-0.002516*M62)*(1-0.002516*M62)*2354*COS(2*S62+2*R62-Q62) -1423*COS(4*S62+Q62) -1117*COS(4*Q62) -(1-0.002516*M62)*1571*COS(4*S62-R62)  -1739*COS(S62-2*Q62) -4421*COS(2*Q62-2*T62) +(1-0.002516*M62)*(1-0.002516*M62)*1165*COS(2*R62+Q62) +8752*COS(2*S62-Q62-2*T62))/1000</f>
        <v>374716.242920272</v>
      </c>
      <c r="AY62" s="10" t="n">
        <f aca="false">AY61+1/8</f>
        <v>8.5</v>
      </c>
      <c r="AZ62" s="17" t="n">
        <f aca="false">AZ61+1</f>
        <v>61</v>
      </c>
      <c r="BA62" s="32" t="n">
        <f aca="false">ATAN(0.99664719*TAN($A$4*input!$E$2))</f>
        <v>-0.400219206115995</v>
      </c>
      <c r="BB62" s="32" t="n">
        <f aca="false">COS(BA62)</f>
        <v>0.920975608992155</v>
      </c>
      <c r="BC62" s="32" t="n">
        <f aca="false">0.99664719*SIN(BA62)</f>
        <v>-0.388313912533463</v>
      </c>
      <c r="BD62" s="32" t="n">
        <f aca="false">6378.14/AX62</f>
        <v>0.0170212530695049</v>
      </c>
      <c r="BE62" s="33" t="n">
        <f aca="false">MOD(N62-15*AH62,360)</f>
        <v>197.730350248401</v>
      </c>
      <c r="BF62" s="27" t="n">
        <f aca="false">COS($A$4*AG62)*SIN($A$4*BE62)</f>
        <v>-0.303658645982488</v>
      </c>
      <c r="BG62" s="27" t="n">
        <f aca="false">COS($A$4*AG62)*COS($A$4*BE62)-BB62*BD62</f>
        <v>-0.965427188629882</v>
      </c>
      <c r="BH62" s="27" t="n">
        <f aca="false">SIN($A$4*AG62)-BC62*BD62</f>
        <v>-0.0693141109355848</v>
      </c>
      <c r="BI62" s="46" t="n">
        <f aca="false">SQRT(BF62^2+BG62^2+BH62^2)</f>
        <v>1.01442726491381</v>
      </c>
      <c r="BJ62" s="35" t="n">
        <f aca="false">AX62*BI62</f>
        <v>380122.373424389</v>
      </c>
    </row>
    <row r="63" customFormat="false" ht="15" hidden="false" customHeight="false" outlineLevel="0" collapsed="false">
      <c r="A63" s="0"/>
      <c r="B63" s="20"/>
      <c r="C63" s="15" t="n">
        <f aca="false">MOD(C62+3,24)</f>
        <v>15</v>
      </c>
      <c r="D63" s="17" t="n">
        <v>8</v>
      </c>
      <c r="E63" s="102" t="n">
        <f aca="false">input!$C$2</f>
        <v>10</v>
      </c>
      <c r="F63" s="102" t="n">
        <f aca="false">input!$D$2</f>
        <v>2022</v>
      </c>
      <c r="G63" s="0"/>
      <c r="H63" s="39" t="n">
        <f aca="false">AM63</f>
        <v>-25.5231158719238</v>
      </c>
      <c r="I63" s="48" t="n">
        <f aca="false">H63+1.02/(TAN($A$4*(H63+10.3/(H63+5.11)))*60)</f>
        <v>-25.5579283214</v>
      </c>
      <c r="J63" s="39" t="n">
        <f aca="false">100*(1+COS($A$4*AQ63))/2</f>
        <v>98.0028264300066</v>
      </c>
      <c r="K63" s="48" t="n">
        <f aca="false">IF(AI63&gt;180,AT63-180,AT63+180)</f>
        <v>105.599138020053</v>
      </c>
      <c r="L63" s="10" t="n">
        <f aca="false">L62+1/8</f>
        <v>2459861.125</v>
      </c>
      <c r="M63" s="49" t="n">
        <f aca="false">(L63-2451545)/36525</f>
        <v>0.227683093771389</v>
      </c>
      <c r="N63" s="15" t="n">
        <f aca="false">MOD(280.46061837+360.98564736629*(L63-2451545)+0.000387933*M63^2-M63^3/38710000+$G$4,360)</f>
        <v>242.227342468686</v>
      </c>
      <c r="O63" s="18" t="n">
        <f aca="false">0.60643382+1336.85522467*M63 - 0.00000313*M63^2 - INT(0.60643382+1336.85522467*M63 - 0.00000313*M63^2)</f>
        <v>0.985767135053607</v>
      </c>
      <c r="P63" s="15" t="n">
        <f aca="false">22640*SIN(Q63)-4586*SIN(Q63-2*S63)+2370*SIN(2*S63)+769*SIN(2*Q63)-668*SIN(R63)-412*SIN(2*T63)-212*SIN(2*Q63-2*S63)-206*SIN(Q63+R63-2*S63)+192*SIN(Q63+2*S63)-165*SIN(R63-2*S63)-125*SIN(S63)-110*SIN(Q63+R63)+148*SIN(Q63-R63)-55*SIN(2*T63-2*S63)</f>
        <v>16392.0105827211</v>
      </c>
      <c r="Q63" s="18" t="n">
        <f aca="false">2*PI()*(0.374897+1325.55241*M63 - INT(0.374897+1325.55241*M63))</f>
        <v>1.13581558580249</v>
      </c>
      <c r="R63" s="26" t="n">
        <f aca="false">2*PI()*(0.99312619+99.99735956*M63 - 0.00000044*M63^2 - INT(0.99312619+99.99735956*M63- 0.00000044*M63^2))</f>
        <v>4.78046327685912</v>
      </c>
      <c r="S63" s="26" t="n">
        <f aca="false">2*PI()*(0.827361+1236.853086*M63 - INT(0.827361+1236.853086*M63))</f>
        <v>2.75139529230705</v>
      </c>
      <c r="T63" s="26" t="n">
        <f aca="false">2*PI()*(0.259086+1342.227825*M63 - INT(0.259086+1342.227825*M63))</f>
        <v>5.41403066284673</v>
      </c>
      <c r="U63" s="26" t="n">
        <f aca="false">T63+(P63+412*SIN(2*T63)+541*SIN(R63))/206264.8062</f>
        <v>5.48891513241611</v>
      </c>
      <c r="V63" s="26" t="n">
        <f aca="false">T63-2*S63</f>
        <v>-0.0887599217673722</v>
      </c>
      <c r="W63" s="25" t="n">
        <f aca="false">-526*SIN(V63)+44*SIN(Q63+V63)-31*SIN(-Q63+V63)-23*SIN(R63+V63)+11*SIN(-R63+V63)-25*SIN(-2*Q63+T63)+21*SIN(-Q63+T63)</f>
        <v>128.717622487025</v>
      </c>
      <c r="X63" s="26" t="n">
        <f aca="false">2*PI()*(O63+P63/1296000-INT(O63+P63/1296000))</f>
        <v>6.27322828918329</v>
      </c>
      <c r="Y63" s="26" t="n">
        <f aca="false">(18520*SIN(U63)+W63)/206264.8062</f>
        <v>-0.0634260771792262</v>
      </c>
      <c r="Z63" s="26" t="n">
        <f aca="false">Y63*180/PI()</f>
        <v>-3.63404653344069</v>
      </c>
      <c r="AA63" s="26" t="n">
        <f aca="false">COS(Y63)*COS(X63)</f>
        <v>0.997939769567887</v>
      </c>
      <c r="AB63" s="26" t="n">
        <f aca="false">COS(Y63)*SIN(X63)</f>
        <v>-0.00993683263348488</v>
      </c>
      <c r="AC63" s="26" t="n">
        <f aca="false">SIN(Y63)</f>
        <v>-0.0633835599505662</v>
      </c>
      <c r="AD63" s="26" t="n">
        <f aca="false">COS($A$4*(23.4393-46.815*M63/3600))*AB63-SIN($A$4*(23.4393-46.815*M63/3600))*AC63</f>
        <v>0.0160924667297808</v>
      </c>
      <c r="AE63" s="26" t="n">
        <f aca="false">SIN($A$4*(23.4393-46.815*M63/3600))*AB63+COS($A$4*(23.4393-46.815*M63/3600))*AC63</f>
        <v>-0.0621067534922234</v>
      </c>
      <c r="AF63" s="26" t="n">
        <f aca="false">SQRT(1-AE63*AE63)</f>
        <v>0.998069512193743</v>
      </c>
      <c r="AG63" s="10" t="n">
        <f aca="false">ATAN(AE63/AF63)/$A$4</f>
        <v>-3.56074647527509</v>
      </c>
      <c r="AH63" s="26" t="n">
        <f aca="false">IF(24*ATAN(AD63/(AA63+AF63))/PI()&gt;0,24*ATAN(AD63/(AA63+AF63))/PI(),24*ATAN(AD63/(AA63+AF63))/PI()+24)</f>
        <v>0.0615902579303424</v>
      </c>
      <c r="AI63" s="10" t="n">
        <f aca="false">IF(N63-15*AH63&gt;0,N63-15*AH63,360+N63-15*AH63)</f>
        <v>241.303488599731</v>
      </c>
      <c r="AJ63" s="18" t="n">
        <f aca="false">0.950724+0.051818*COS(Q63)+0.009531*COS(2*S63-Q63)+0.007843*COS(2*S63)+0.002824*COS(2*Q63)+0.000857*COS(2*S63+Q63)+0.000533*COS(2*S63-R63)+0.000401*COS(2*S63-R63-Q63)+0.00032*COS(Q63-R63)-0.000271*COS(S63)</f>
        <v>0.97462592792214</v>
      </c>
      <c r="AK63" s="50" t="n">
        <f aca="false">ASIN(COS($A$4*$G$2)*COS($A$4*AG63)*COS($A$4*AI63)+SIN($A$4*$G$2)*SIN($A$4*AG63))/$A$4</f>
        <v>-24.6376755879446</v>
      </c>
      <c r="AL63" s="18" t="n">
        <f aca="false">ASIN((0.9983271+0.0016764*COS($A$4*2*$G$2))*COS($A$4*AK63)*SIN($A$4*AJ63))/$A$4</f>
        <v>0.885440283979196</v>
      </c>
      <c r="AM63" s="18" t="n">
        <f aca="false">AK63-AL63</f>
        <v>-25.5231158719238</v>
      </c>
      <c r="AN63" s="10" t="n">
        <f aca="false"> IF(280.4664567 + 360007.6982779*M63/10 + 0.03032028*M63^2/100 + M63^3/49931000&lt;0,MOD(280.4664567 + 360007.6982779*M63/10 + 0.03032028*M63^2/100 + M63^3/49931000+360,360),MOD(280.4664567 + 360007.6982779*M63/10 + 0.03032028*M63^2/100 + M63^3/49931000,360))</f>
        <v>197.233124961065</v>
      </c>
      <c r="AO63" s="27" t="n">
        <f aca="false"> AN63 + (1.9146 - 0.004817*M63 - 0.000014*M63^2)*SIN(R63)+ (0.019993 - 0.000101*M63)*SIN(2*R63)+ 0.00029*SIN(3*R63)</f>
        <v>195.3216278923</v>
      </c>
      <c r="AP63" s="18" t="n">
        <f aca="false">ACOS(COS(X63-$A$4*AO63)*COS(Y63))/$A$4</f>
        <v>163.70811990318</v>
      </c>
      <c r="AQ63" s="25" t="n">
        <f aca="false">180 - AP63 -0.1468*(1-0.0549*SIN(R63))*SIN($A$4*AP63)/(1-0.0167*SIN($A$4*AO63))</f>
        <v>16.2486333799089</v>
      </c>
      <c r="AR63" s="25" t="n">
        <f aca="false">SIN($A$4*AI63)</f>
        <v>-0.877175401712629</v>
      </c>
      <c r="AS63" s="25" t="n">
        <f aca="false">COS($A$4*AI63)*SIN($A$4*$G$2) - TAN($A$4*AG63)*COS($A$4*$G$2)</f>
        <v>0.244897547493966</v>
      </c>
      <c r="AT63" s="25" t="n">
        <f aca="false">IF(OR(AND(AR63*AS63&gt;0), AND(AR63&lt;0,AS63&gt;0)), MOD(ATAN2(AS63,AR63)/$A$4+360,360),  ATAN2(AS63,AR63)/$A$4)</f>
        <v>285.599138020053</v>
      </c>
      <c r="AU63" s="29" t="n">
        <f aca="false">(1+SIN($A$4*H63)*SIN($A$4*AJ63))*120*ASIN(0.272481*SIN($A$4*AJ63))/$A$4</f>
        <v>31.6330718387073</v>
      </c>
      <c r="AV63" s="10" t="n">
        <f aca="false">COS(X63)</f>
        <v>0.999950429305858</v>
      </c>
      <c r="AW63" s="10" t="n">
        <f aca="false">SIN(X63)</f>
        <v>-0.00995685347032131</v>
      </c>
      <c r="AX63" s="30" t="n">
        <f aca="false"> 385000.56 + (-20905355*COS(Q63) - 3699111*COS(2*S63-Q63) - 2955968*COS(2*S63) - 569925*COS(2*Q63) + (1-0.002516*M63)*48888*COS(R63) - 3149*COS(2*T63)  +246158*COS(2*S63-2*Q63) -(1-0.002516*M63)*152138*COS(2*S63-R63-Q63) -170733*COS(2*S63+Q63) -(1-0.002516*M63)*204586*COS(2*S63-R63) -(1-0.002516*M63)*129620*COS(R63-Q63)  + 108743*COS(S63) +(1-0.002516*M63)*104755*COS(R63+Q63) +10321*COS(2*S63-2*T63) +79661*COS(Q63-2*T63) -34782*COS(4*S63-Q63) -23210*COS(3*Q63)  -21636*COS(4*S63-2*Q63) +(1-0.002516*M63)*24208*COS(2*S63+R63-Q63) +(1-0.002516*M63)*30824*COS(2*S63+R63) -8379*COS(S63-Q63) -(1-0.002516*M63)*16675*COS(S63+R63)  -(1-0.002516*M63)*12831*COS(2*S63-R63+Q63) -10445*COS(2*S63+2*Q63) -11650*COS(4*S63) +14403*COS(2*S63-3*Q63) -(1-0.002516*M63)*7003*COS(R63-2*Q63)  + (1-0.002516*M63)*10056*COS(2*S63-R63-2*Q63) +6322*COS(S63+Q63) -(1-0.002516*M63)*(1-0.002516*M63)*9884*COS(2*S63-2*R63) +(1-0.002516*M63)*5751*COS(R63+2*Q63) -(1-0.002516*M63)*(1-0.002516*M63)*4950*COS(2*S63-2*R63-Q63)  +4130*COS(2*S63+Q63-2*T63) -(1-0.002516*M63)*3958*COS(4*S63-R63-Q63) +3258*COS(3*S63-Q63) +(1-0.002516*M63)*2616*COS(2*S63+R63+Q63) -(1-0.002516*M63)*1897*COS(4*S63-R63-2*Q63)  -(1-0.002516*M63)*(1-0.002516*M63)*2117*COS(2*R63-Q63) +(1-0.002516*M63)*(1-0.002516*M63)*2354*COS(2*S63+2*R63-Q63) -1423*COS(4*S63+Q63) -1117*COS(4*Q63) -(1-0.002516*M63)*1571*COS(4*S63-R63)  -1739*COS(S63-2*Q63) -4421*COS(2*Q63-2*T63) +(1-0.002516*M63)*(1-0.002516*M63)*1165*COS(2*R63+Q63) +8752*COS(2*S63-Q63-2*T63))/1000</f>
        <v>375092.581534107</v>
      </c>
      <c r="AY63" s="10" t="n">
        <f aca="false">AY62+1/8</f>
        <v>8.625</v>
      </c>
      <c r="AZ63" s="17" t="n">
        <f aca="false">AZ62+1</f>
        <v>62</v>
      </c>
      <c r="BA63" s="32" t="n">
        <f aca="false">ATAN(0.99664719*TAN($A$4*input!$E$2))</f>
        <v>-0.400219206115995</v>
      </c>
      <c r="BB63" s="32" t="n">
        <f aca="false">COS(BA63)</f>
        <v>0.920975608992155</v>
      </c>
      <c r="BC63" s="32" t="n">
        <f aca="false">0.99664719*SIN(BA63)</f>
        <v>-0.388313912533463</v>
      </c>
      <c r="BD63" s="32" t="n">
        <f aca="false">6378.14/AX63</f>
        <v>0.0170041752729787</v>
      </c>
      <c r="BE63" s="33" t="n">
        <f aca="false">MOD(N63-15*AH63,360)</f>
        <v>241.303488599731</v>
      </c>
      <c r="BF63" s="27" t="n">
        <f aca="false">COS($A$4*AG63)*SIN($A$4*BE63)</f>
        <v>-0.875482025295674</v>
      </c>
      <c r="BG63" s="27" t="n">
        <f aca="false">COS($A$4*AG63)*COS($A$4*BE63)-BB63*BD63</f>
        <v>-0.494903557445932</v>
      </c>
      <c r="BH63" s="27" t="n">
        <f aca="false">SIN($A$4*AG63)-BC63*BD63</f>
        <v>-0.0555037956625683</v>
      </c>
      <c r="BI63" s="46" t="n">
        <f aca="false">SQRT(BF63^2+BG63^2+BH63^2)</f>
        <v>1.00721347246818</v>
      </c>
      <c r="BJ63" s="35" t="n">
        <f aca="false">AX63*BI63</f>
        <v>377798.301544022</v>
      </c>
    </row>
    <row r="64" customFormat="false" ht="15" hidden="false" customHeight="false" outlineLevel="0" collapsed="false">
      <c r="A64" s="0"/>
      <c r="B64" s="20"/>
      <c r="C64" s="15" t="n">
        <f aca="false">MOD(C63+3,24)</f>
        <v>18</v>
      </c>
      <c r="D64" s="17" t="n">
        <v>8</v>
      </c>
      <c r="E64" s="102" t="n">
        <f aca="false">input!$C$2</f>
        <v>10</v>
      </c>
      <c r="F64" s="102" t="n">
        <f aca="false">input!$D$2</f>
        <v>2022</v>
      </c>
      <c r="G64" s="0"/>
      <c r="H64" s="39" t="n">
        <f aca="false">AM64</f>
        <v>13.8324258020436</v>
      </c>
      <c r="I64" s="48" t="n">
        <f aca="false">H64+1.02/(TAN($A$4*(H64+10.3/(H64+5.11)))*60)</f>
        <v>13.8987508970497</v>
      </c>
      <c r="J64" s="39" t="n">
        <f aca="false">100*(1+COS($A$4*AQ64))/2</f>
        <v>98.3721218647705</v>
      </c>
      <c r="K64" s="48" t="n">
        <f aca="false">IF(AI64&gt;180,AT64-180,AT64+180)</f>
        <v>86.6909416205044</v>
      </c>
      <c r="L64" s="10" t="n">
        <f aca="false">L63+1/8</f>
        <v>2459861.25</v>
      </c>
      <c r="M64" s="49" t="n">
        <f aca="false">(L64-2451545)/36525</f>
        <v>0.227686516084873</v>
      </c>
      <c r="N64" s="15" t="n">
        <f aca="false">MOD(280.46061837+360.98564736629*(L64-2451545)+0.000387933*M64^2-M64^3/38710000+$G$4,360)</f>
        <v>287.350548389833</v>
      </c>
      <c r="O64" s="18" t="n">
        <f aca="false">0.60643382+1336.85522467*M64 - 0.00000313*M64^2 - INT(0.60643382+1336.85522467*M64 - 0.00000313*M64^2)</f>
        <v>0.990342272710223</v>
      </c>
      <c r="P64" s="15" t="n">
        <f aca="false">22640*SIN(Q64)-4586*SIN(Q64-2*S64)+2370*SIN(2*S64)+769*SIN(2*Q64)-668*SIN(R64)-412*SIN(2*T64)-212*SIN(2*Q64-2*S64)-206*SIN(Q64+R64-2*S64)+192*SIN(Q64+2*S64)-165*SIN(R64-2*S64)-125*SIN(S64)-110*SIN(Q64+R64)+148*SIN(Q64-R64)-55*SIN(2*T64-2*S64)</f>
        <v>16706.4883516434</v>
      </c>
      <c r="Q64" s="18" t="n">
        <f aca="false">2*PI()*(0.374897+1325.55241*M64 - INT(0.374897+1325.55241*M64))</f>
        <v>1.16431897877429</v>
      </c>
      <c r="R64" s="26" t="n">
        <f aca="false">2*PI()*(0.99312619+99.99735956*M64 - 0.00000044*M64^2 - INT(0.99312619+99.99735956*M64- 0.00000044*M64^2))</f>
        <v>4.78261352305723</v>
      </c>
      <c r="S64" s="26" t="n">
        <f aca="false">2*PI()*(0.827361+1236.853086*M64 - INT(0.827361+1236.853086*M64))</f>
        <v>2.77799138107197</v>
      </c>
      <c r="T64" s="26" t="n">
        <f aca="false">2*PI()*(0.259086+1342.227825*M64 - INT(0.259086+1342.227825*M64))</f>
        <v>5.44289262776413</v>
      </c>
      <c r="U64" s="26" t="n">
        <f aca="false">T64+(P64+412*SIN(2*T64)+541*SIN(R64))/206264.8062</f>
        <v>5.51928618522966</v>
      </c>
      <c r="V64" s="26" t="n">
        <f aca="false">T64-2*S64</f>
        <v>-0.113090134379816</v>
      </c>
      <c r="W64" s="25" t="n">
        <f aca="false">-526*SIN(V64)+44*SIN(Q64+V64)-31*SIN(-Q64+V64)-23*SIN(R64+V64)+11*SIN(-R64+V64)-25*SIN(-2*Q64+T64)+21*SIN(-Q64+T64)</f>
        <v>141.28401507027</v>
      </c>
      <c r="X64" s="26" t="n">
        <f aca="false">2*PI()*(O64+P64/1296000-INT(O64+P64/1296000))</f>
        <v>0.0203140509538605</v>
      </c>
      <c r="Y64" s="26" t="n">
        <f aca="false">(18520*SIN(U64)+W64)/206264.8062</f>
        <v>-0.0614248544411491</v>
      </c>
      <c r="Z64" s="26" t="n">
        <f aca="false">Y64*180/PI()</f>
        <v>-3.51938491668325</v>
      </c>
      <c r="AA64" s="26" t="n">
        <f aca="false">COS(Y64)*COS(X64)</f>
        <v>0.997908152574826</v>
      </c>
      <c r="AB64" s="26" t="n">
        <f aca="false">COS(Y64)*SIN(X64)</f>
        <v>0.0202743459437706</v>
      </c>
      <c r="AC64" s="26" t="n">
        <f aca="false">SIN(Y64)</f>
        <v>-0.0613862356009128</v>
      </c>
      <c r="AD64" s="26" t="n">
        <f aca="false">COS($A$4*(23.4393-46.815*M64/3600))*AB64-SIN($A$4*(23.4393-46.815*M64/3600))*AC64</f>
        <v>0.0430169046337715</v>
      </c>
      <c r="AE64" s="26" t="n">
        <f aca="false">SIN($A$4*(23.4393-46.815*M64/3600))*AB64+COS($A$4*(23.4393-46.815*M64/3600))*AC64</f>
        <v>-0.0482583147284224</v>
      </c>
      <c r="AF64" s="26" t="n">
        <f aca="false">SQRT(1-AE64*AE64)</f>
        <v>0.998834888787718</v>
      </c>
      <c r="AG64" s="10" t="n">
        <f aca="false">ATAN(AE64/AF64)/$A$4</f>
        <v>-2.7660721043589</v>
      </c>
      <c r="AH64" s="26" t="n">
        <f aca="false">IF(24*ATAN(AD64/(AA64+AF64))/PI()&gt;0,24*ATAN(AD64/(AA64+AF64))/PI(),24*ATAN(AD64/(AA64+AF64))/PI()+24)</f>
        <v>0.164555033310879</v>
      </c>
      <c r="AI64" s="10" t="n">
        <f aca="false">IF(N64-15*AH64&gt;0,N64-15*AH64,360+N64-15*AH64)</f>
        <v>284.88222289017</v>
      </c>
      <c r="AJ64" s="18" t="n">
        <f aca="false">0.950724+0.051818*COS(Q64)+0.009531*COS(2*S64-Q64)+0.007843*COS(2*S64)+0.002824*COS(2*Q64)+0.000857*COS(2*S64+Q64)+0.000533*COS(2*S64-R64)+0.000401*COS(2*S64-R64-Q64)+0.00032*COS(Q64-R64)-0.000271*COS(S64)</f>
        <v>0.973622345377288</v>
      </c>
      <c r="AK64" s="50" t="n">
        <f aca="false">ASIN(COS($A$4*$G$2)*COS($A$4*AG64)*COS($A$4*AI64)+SIN($A$4*$G$2)*SIN($A$4*AG64))/$A$4</f>
        <v>14.7733805143001</v>
      </c>
      <c r="AL64" s="18" t="n">
        <f aca="false">ASIN((0.9983271+0.0016764*COS($A$4*2*$G$2))*COS($A$4*AK64)*SIN($A$4*AJ64))/$A$4</f>
        <v>0.940954712256504</v>
      </c>
      <c r="AM64" s="18" t="n">
        <f aca="false">AK64-AL64</f>
        <v>13.8324258020436</v>
      </c>
      <c r="AN64" s="10" t="n">
        <f aca="false"> IF(280.4664567 + 360007.6982779*M64/10 + 0.03032028*M64^2/100 + M64^3/49931000&lt;0,MOD(280.4664567 + 360007.6982779*M64/10 + 0.03032028*M64^2/100 + M64^3/49931000+360,360),MOD(280.4664567 + 360007.6982779*M64/10 + 0.03032028*M64^2/100 + M64^3/49931000,360))</f>
        <v>197.35633088155</v>
      </c>
      <c r="AO64" s="27" t="n">
        <f aca="false"> AN64 + (1.9146 - 0.004817*M64 - 0.000014*M64^2)*SIN(R64)+ (0.019993 - 0.000101*M64)*SIN(2*R64)+ 0.00029*SIN(3*R64)</f>
        <v>195.445032671862</v>
      </c>
      <c r="AP64" s="18" t="n">
        <f aca="false">ACOS(COS(X64-$A$4*AO64)*COS(Y64))/$A$4</f>
        <v>165.300376961258</v>
      </c>
      <c r="AQ64" s="25" t="n">
        <f aca="false">180 - AP64 -0.1468*(1-0.0549*SIN(R64))*SIN($A$4*AP64)/(1-0.0167*SIN($A$4*AO64))</f>
        <v>14.6605062516082</v>
      </c>
      <c r="AR64" s="25" t="n">
        <f aca="false">SIN($A$4*AI64)</f>
        <v>-0.966455813164831</v>
      </c>
      <c r="AS64" s="25" t="n">
        <f aca="false">COS($A$4*AI64)*SIN($A$4*$G$2) - TAN($A$4*AG64)*COS($A$4*$G$2)</f>
        <v>-0.0558787962155037</v>
      </c>
      <c r="AT64" s="25" t="n">
        <f aca="false">IF(OR(AND(AR64*AS64&gt;0), AND(AR64&lt;0,AS64&gt;0)), MOD(ATAN2(AS64,AR64)/$A$4+360,360),  ATAN2(AS64,AR64)/$A$4)</f>
        <v>266.690941620504</v>
      </c>
      <c r="AU64" s="29" t="n">
        <f aca="false">(1+SIN($A$4*H64)*SIN($A$4*AJ64))*120*ASIN(0.272481*SIN($A$4*AJ64))/$A$4</f>
        <v>31.9631380415245</v>
      </c>
      <c r="AV64" s="10" t="n">
        <f aca="false">COS(X64)</f>
        <v>0.999793676762192</v>
      </c>
      <c r="AW64" s="10" t="n">
        <f aca="false">SIN(X64)</f>
        <v>0.0203126538477209</v>
      </c>
      <c r="AX64" s="30" t="n">
        <f aca="false"> 385000.56 + (-20905355*COS(Q64) - 3699111*COS(2*S64-Q64) - 2955968*COS(2*S64) - 569925*COS(2*Q64) + (1-0.002516*M64)*48888*COS(R64) - 3149*COS(2*T64)  +246158*COS(2*S64-2*Q64) -(1-0.002516*M64)*152138*COS(2*S64-R64-Q64) -170733*COS(2*S64+Q64) -(1-0.002516*M64)*204586*COS(2*S64-R64) -(1-0.002516*M64)*129620*COS(R64-Q64)  + 108743*COS(S64) +(1-0.002516*M64)*104755*COS(R64+Q64) +10321*COS(2*S64-2*T64) +79661*COS(Q64-2*T64) -34782*COS(4*S64-Q64) -23210*COS(3*Q64)  -21636*COS(4*S64-2*Q64) +(1-0.002516*M64)*24208*COS(2*S64+R64-Q64) +(1-0.002516*M64)*30824*COS(2*S64+R64) -8379*COS(S64-Q64) -(1-0.002516*M64)*16675*COS(S64+R64)  -(1-0.002516*M64)*12831*COS(2*S64-R64+Q64) -10445*COS(2*S64+2*Q64) -11650*COS(4*S64) +14403*COS(2*S64-3*Q64) -(1-0.002516*M64)*7003*COS(R64-2*Q64)  + (1-0.002516*M64)*10056*COS(2*S64-R64-2*Q64) +6322*COS(S64+Q64) -(1-0.002516*M64)*(1-0.002516*M64)*9884*COS(2*S64-2*R64) +(1-0.002516*M64)*5751*COS(R64+2*Q64) -(1-0.002516*M64)*(1-0.002516*M64)*4950*COS(2*S64-2*R64-Q64)  +4130*COS(2*S64+Q64-2*T64) -(1-0.002516*M64)*3958*COS(4*S64-R64-Q64) +3258*COS(3*S64-Q64) +(1-0.002516*M64)*2616*COS(2*S64+R64+Q64) -(1-0.002516*M64)*1897*COS(4*S64-R64-2*Q64)  -(1-0.002516*M64)*(1-0.002516*M64)*2117*COS(2*R64-Q64) +(1-0.002516*M64)*(1-0.002516*M64)*2354*COS(2*S64+2*R64-Q64) -1423*COS(4*S64+Q64) -1117*COS(4*Q64) -(1-0.002516*M64)*1571*COS(4*S64-R64)  -1739*COS(S64-2*Q64) -4421*COS(2*Q64-2*T64) +(1-0.002516*M64)*(1-0.002516*M64)*1165*COS(2*R64+Q64) +8752*COS(2*S64-Q64-2*T64))/1000</f>
        <v>375481.243325391</v>
      </c>
      <c r="AY64" s="10" t="n">
        <f aca="false">AY63+1/8</f>
        <v>8.75</v>
      </c>
      <c r="AZ64" s="17" t="n">
        <f aca="false">AZ63+1</f>
        <v>63</v>
      </c>
      <c r="BA64" s="32" t="n">
        <f aca="false">ATAN(0.99664719*TAN($A$4*input!$E$2))</f>
        <v>-0.400219206115995</v>
      </c>
      <c r="BB64" s="32" t="n">
        <f aca="false">COS(BA64)</f>
        <v>0.920975608992155</v>
      </c>
      <c r="BC64" s="32" t="n">
        <f aca="false">0.99664719*SIN(BA64)</f>
        <v>-0.388313912533463</v>
      </c>
      <c r="BD64" s="32" t="n">
        <f aca="false">6378.14/AX64</f>
        <v>0.0169865741987882</v>
      </c>
      <c r="BE64" s="33" t="n">
        <f aca="false">MOD(N64-15*AH64,360)</f>
        <v>284.88222289017</v>
      </c>
      <c r="BF64" s="27" t="n">
        <f aca="false">COS($A$4*AG64)*SIN($A$4*BE64)</f>
        <v>-0.965329784660738</v>
      </c>
      <c r="BG64" s="27" t="n">
        <f aca="false">COS($A$4*AG64)*COS($A$4*BE64)-BB64*BD64</f>
        <v>0.240889484688011</v>
      </c>
      <c r="BH64" s="27" t="n">
        <f aca="false">SIN($A$4*AG64)-BC64*BD64</f>
        <v>-0.0416621916407509</v>
      </c>
      <c r="BI64" s="46" t="n">
        <f aca="false">SQRT(BF64^2+BG64^2+BH64^2)</f>
        <v>0.99580373327213</v>
      </c>
      <c r="BJ64" s="35" t="n">
        <f aca="false">AX64*BI64</f>
        <v>373905.623877085</v>
      </c>
    </row>
    <row r="65" customFormat="false" ht="15" hidden="false" customHeight="false" outlineLevel="0" collapsed="false">
      <c r="A65" s="0"/>
      <c r="B65" s="20"/>
      <c r="C65" s="15" t="n">
        <f aca="false">MOD(C64+3,24)</f>
        <v>21</v>
      </c>
      <c r="D65" s="17" t="n">
        <v>8</v>
      </c>
      <c r="E65" s="102" t="n">
        <f aca="false">input!$C$2</f>
        <v>10</v>
      </c>
      <c r="F65" s="102" t="n">
        <f aca="false">input!$D$2</f>
        <v>2022</v>
      </c>
      <c r="G65" s="0"/>
      <c r="H65" s="39" t="n">
        <f aca="false">AM65</f>
        <v>52.3102325782302</v>
      </c>
      <c r="I65" s="48" t="n">
        <f aca="false">H65+1.02/(TAN($A$4*(H65+10.3/(H65+5.11)))*60)</f>
        <v>52.3232820347155</v>
      </c>
      <c r="J65" s="39" t="n">
        <f aca="false">100*(1+COS($A$4*AQ65))/2</f>
        <v>98.7026824514426</v>
      </c>
      <c r="K65" s="48" t="n">
        <f aca="false">IF(AI65&gt;180,AT65-180,AT65+180)</f>
        <v>60.0494228212481</v>
      </c>
      <c r="L65" s="10" t="n">
        <f aca="false">L64+1/8</f>
        <v>2459861.375</v>
      </c>
      <c r="M65" s="49" t="n">
        <f aca="false">(L65-2451545)/36525</f>
        <v>0.227689938398357</v>
      </c>
      <c r="N65" s="15" t="n">
        <f aca="false">MOD(280.46061837+360.98564736629*(L65-2451545)+0.000387933*M65^2-M65^3/38710000+$G$4,360)</f>
        <v>332.47375431098</v>
      </c>
      <c r="O65" s="18" t="n">
        <f aca="false">0.60643382+1336.85522467*M65 - 0.00000313*M65^2 - INT(0.60643382+1336.85522467*M65 - 0.00000313*M65^2)</f>
        <v>0.994917410366782</v>
      </c>
      <c r="P65" s="15" t="n">
        <f aca="false">22640*SIN(Q65)-4586*SIN(Q65-2*S65)+2370*SIN(2*S65)+769*SIN(2*Q65)-668*SIN(R65)-412*SIN(2*T65)-212*SIN(2*Q65-2*S65)-206*SIN(Q65+R65-2*S65)+192*SIN(Q65+2*S65)-165*SIN(R65-2*S65)-125*SIN(S65)-110*SIN(Q65+R65)+148*SIN(Q65-R65)-55*SIN(2*T65-2*S65)</f>
        <v>17007.1468402737</v>
      </c>
      <c r="Q65" s="18" t="n">
        <f aca="false">2*PI()*(0.374897+1325.55241*M65 - INT(0.374897+1325.55241*M65))</f>
        <v>1.19282237174645</v>
      </c>
      <c r="R65" s="26" t="n">
        <f aca="false">2*PI()*(0.99312619+99.99735956*M65 - 0.00000044*M65^2 - INT(0.99312619+99.99735956*M65- 0.00000044*M65^2))</f>
        <v>4.78476376925535</v>
      </c>
      <c r="S65" s="26" t="n">
        <f aca="false">2*PI()*(0.827361+1236.853086*M65 - INT(0.827361+1236.853086*M65))</f>
        <v>2.8045874698369</v>
      </c>
      <c r="T65" s="26" t="n">
        <f aca="false">2*PI()*(0.259086+1342.227825*M65 - INT(0.259086+1342.227825*M65))</f>
        <v>5.47175459268189</v>
      </c>
      <c r="U65" s="26" t="n">
        <f aca="false">T65+(P65+412*SIN(2*T65)+541*SIN(R65))/206264.8062</f>
        <v>5.5495968660195</v>
      </c>
      <c r="V65" s="26" t="n">
        <f aca="false">T65-2*S65</f>
        <v>-0.137420346991902</v>
      </c>
      <c r="W65" s="25" t="n">
        <f aca="false">-526*SIN(V65)+44*SIN(Q65+V65)-31*SIN(-Q65+V65)-23*SIN(R65+V65)+11*SIN(-R65+V65)-25*SIN(-2*Q65+T65)+21*SIN(-Q65+T65)</f>
        <v>153.7134460945</v>
      </c>
      <c r="X65" s="26" t="n">
        <f aca="false">2*PI()*(O65+P65/1296000-INT(O65+P65/1296000))</f>
        <v>0.050518122142173</v>
      </c>
      <c r="Y65" s="26" t="n">
        <f aca="false">(18520*SIN(U65)+W65)/206264.8062</f>
        <v>-0.0593710364090104</v>
      </c>
      <c r="Z65" s="26" t="n">
        <f aca="false">Y65*180/PI()</f>
        <v>-3.40170981155384</v>
      </c>
      <c r="AA65" s="26" t="n">
        <f aca="false">COS(Y65)*COS(X65)</f>
        <v>0.996964536523614</v>
      </c>
      <c r="AB65" s="26" t="n">
        <f aca="false">COS(Y65)*SIN(X65)</f>
        <v>0.0504076650008225</v>
      </c>
      <c r="AC65" s="26" t="n">
        <f aca="false">SIN(Y65)</f>
        <v>-0.0593361628639776</v>
      </c>
      <c r="AD65" s="26" t="n">
        <f aca="false">COS($A$4*(23.4393-46.815*M65/3600))*AB65-SIN($A$4*(23.4393-46.815*M65/3600))*AC65</f>
        <v>0.069848926640557</v>
      </c>
      <c r="AE65" s="26" t="n">
        <f aca="false">SIN($A$4*(23.4393-46.815*M65/3600))*AB65+COS($A$4*(23.4393-46.815*M65/3600))*AC65</f>
        <v>-0.034392446284289</v>
      </c>
      <c r="AF65" s="26" t="n">
        <f aca="false">SQRT(1-AE65*AE65)</f>
        <v>0.999408404826867</v>
      </c>
      <c r="AG65" s="10" t="n">
        <f aca="false">ATAN(AE65/AF65)/$A$4</f>
        <v>-1.9709306989138</v>
      </c>
      <c r="AH65" s="26" t="n">
        <f aca="false">IF(24*ATAN(AD65/(AA65+AF65))/PI()&gt;0,24*ATAN(AD65/(AA65+AF65))/PI(),24*ATAN(AD65/(AA65+AF65))/PI()+24)</f>
        <v>0.267178994065278</v>
      </c>
      <c r="AI65" s="10" t="n">
        <f aca="false">IF(N65-15*AH65&gt;0,N65-15*AH65,360+N65-15*AH65)</f>
        <v>328.466069400001</v>
      </c>
      <c r="AJ65" s="18" t="n">
        <f aca="false">0.950724+0.051818*COS(Q65)+0.009531*COS(2*S65-Q65)+0.007843*COS(2*S65)+0.002824*COS(2*Q65)+0.000857*COS(2*S65+Q65)+0.000533*COS(2*S65-R65)+0.000401*COS(2*S65-R65-Q65)+0.00032*COS(Q65-R65)-0.000271*COS(S65)</f>
        <v>0.972587340562152</v>
      </c>
      <c r="AK65" s="50" t="n">
        <f aca="false">ASIN(COS($A$4*$G$2)*COS($A$4*AG65)*COS($A$4*AI65)+SIN($A$4*$G$2)*SIN($A$4*AG65))/$A$4</f>
        <v>52.8966343990235</v>
      </c>
      <c r="AL65" s="18" t="n">
        <f aca="false">ASIN((0.9983271+0.0016764*COS($A$4*2*$G$2))*COS($A$4*AK65)*SIN($A$4*AJ65))/$A$4</f>
        <v>0.586401820793322</v>
      </c>
      <c r="AM65" s="18" t="n">
        <f aca="false">AK65-AL65</f>
        <v>52.3102325782302</v>
      </c>
      <c r="AN65" s="10" t="n">
        <f aca="false"> IF(280.4664567 + 360007.6982779*M65/10 + 0.03032028*M65^2/100 + M65^3/49931000&lt;0,MOD(280.4664567 + 360007.6982779*M65/10 + 0.03032028*M65^2/100 + M65^3/49931000+360,360),MOD(280.4664567 + 360007.6982779*M65/10 + 0.03032028*M65^2/100 + M65^3/49931000,360))</f>
        <v>197.479536802037</v>
      </c>
      <c r="AO65" s="27" t="n">
        <f aca="false"> AN65 + (1.9146 - 0.004817*M65 - 0.000014*M65^2)*SIN(R65)+ (0.019993 - 0.000101*M65)*SIN(2*R65)+ 0.00029*SIN(3*R65)</f>
        <v>195.568446316706</v>
      </c>
      <c r="AP65" s="18" t="n">
        <f aca="false">ACOS(COS(X65-$A$4*AO65)*COS(Y65))/$A$4</f>
        <v>166.884674007104</v>
      </c>
      <c r="AQ65" s="25" t="n">
        <f aca="false">180 - AP65 -0.1468*(1-0.0549*SIN(R65))*SIN($A$4*AP65)/(1-0.0167*SIN($A$4*AO65))</f>
        <v>13.080348143447</v>
      </c>
      <c r="AR65" s="25" t="n">
        <f aca="false">SIN($A$4*AI65)</f>
        <v>-0.523003407157108</v>
      </c>
      <c r="AS65" s="25" t="n">
        <f aca="false">COS($A$4*AI65)*SIN($A$4*$G$2) - TAN($A$4*AG65)*COS($A$4*$G$2)</f>
        <v>-0.301354939831453</v>
      </c>
      <c r="AT65" s="25" t="n">
        <f aca="false">IF(OR(AND(AR65*AS65&gt;0), AND(AR65&lt;0,AS65&gt;0)), MOD(ATAN2(AS65,AR65)/$A$4+360,360),  ATAN2(AS65,AR65)/$A$4)</f>
        <v>240.049422821248</v>
      </c>
      <c r="AU65" s="29" t="n">
        <f aca="false">(1+SIN($A$4*H65)*SIN($A$4*AJ65))*120*ASIN(0.272481*SIN($A$4*AJ65))/$A$4</f>
        <v>32.2271154693293</v>
      </c>
      <c r="AV65" s="10" t="n">
        <f aca="false">COS(X65)</f>
        <v>0.998724231024351</v>
      </c>
      <c r="AW65" s="10" t="n">
        <f aca="false">SIN(X65)</f>
        <v>0.0504966371634696</v>
      </c>
      <c r="AX65" s="30" t="n">
        <f aca="false"> 385000.56 + (-20905355*COS(Q65) - 3699111*COS(2*S65-Q65) - 2955968*COS(2*S65) - 569925*COS(2*Q65) + (1-0.002516*M65)*48888*COS(R65) - 3149*COS(2*T65)  +246158*COS(2*S65-2*Q65) -(1-0.002516*M65)*152138*COS(2*S65-R65-Q65) -170733*COS(2*S65+Q65) -(1-0.002516*M65)*204586*COS(2*S65-R65) -(1-0.002516*M65)*129620*COS(R65-Q65)  + 108743*COS(S65) +(1-0.002516*M65)*104755*COS(R65+Q65) +10321*COS(2*S65-2*T65) +79661*COS(Q65-2*T65) -34782*COS(4*S65-Q65) -23210*COS(3*Q65)  -21636*COS(4*S65-2*Q65) +(1-0.002516*M65)*24208*COS(2*S65+R65-Q65) +(1-0.002516*M65)*30824*COS(2*S65+R65) -8379*COS(S65-Q65) -(1-0.002516*M65)*16675*COS(S65+R65)  -(1-0.002516*M65)*12831*COS(2*S65-R65+Q65) -10445*COS(2*S65+2*Q65) -11650*COS(4*S65) +14403*COS(2*S65-3*Q65) -(1-0.002516*M65)*7003*COS(R65-2*Q65)  + (1-0.002516*M65)*10056*COS(2*S65-R65-2*Q65) +6322*COS(S65+Q65) -(1-0.002516*M65)*(1-0.002516*M65)*9884*COS(2*S65-2*R65) +(1-0.002516*M65)*5751*COS(R65+2*Q65) -(1-0.002516*M65)*(1-0.002516*M65)*4950*COS(2*S65-2*R65-Q65)  +4130*COS(2*S65+Q65-2*T65) -(1-0.002516*M65)*3958*COS(4*S65-R65-Q65) +3258*COS(3*S65-Q65) +(1-0.002516*M65)*2616*COS(2*S65+R65+Q65) -(1-0.002516*M65)*1897*COS(4*S65-R65-2*Q65)  -(1-0.002516*M65)*(1-0.002516*M65)*2117*COS(2*R65-Q65) +(1-0.002516*M65)*(1-0.002516*M65)*2354*COS(2*S65+2*R65-Q65) -1423*COS(4*S65+Q65) -1117*COS(4*Q65) -(1-0.002516*M65)*1571*COS(4*S65-R65)  -1739*COS(S65-2*Q65) -4421*COS(2*Q65-2*T65) +(1-0.002516*M65)*(1-0.002516*M65)*1165*COS(2*R65+Q65) +8752*COS(2*S65-Q65-2*T65))/1000</f>
        <v>375882.012910471</v>
      </c>
      <c r="AY65" s="10" t="n">
        <f aca="false">AY64+1/8</f>
        <v>8.875</v>
      </c>
      <c r="AZ65" s="17" t="n">
        <f aca="false">AZ64+1</f>
        <v>64</v>
      </c>
      <c r="BA65" s="32" t="n">
        <f aca="false">ATAN(0.99664719*TAN($A$4*input!$E$2))</f>
        <v>-0.400219206115995</v>
      </c>
      <c r="BB65" s="32" t="n">
        <f aca="false">COS(BA65)</f>
        <v>0.920975608992155</v>
      </c>
      <c r="BC65" s="32" t="n">
        <f aca="false">0.99664719*SIN(BA65)</f>
        <v>-0.388313912533463</v>
      </c>
      <c r="BD65" s="32" t="n">
        <f aca="false">6378.14/AX65</f>
        <v>0.0169684629243463</v>
      </c>
      <c r="BE65" s="33" t="n">
        <f aca="false">MOD(N65-15*AH65,360)</f>
        <v>328.466069400001</v>
      </c>
      <c r="BF65" s="27" t="n">
        <f aca="false">COS($A$4*AG65)*SIN($A$4*BE65)</f>
        <v>-0.522694000865902</v>
      </c>
      <c r="BG65" s="27" t="n">
        <f aca="false">COS($A$4*AG65)*COS($A$4*BE65)-BB65*BD65</f>
        <v>0.83619881571309</v>
      </c>
      <c r="BH65" s="27" t="n">
        <f aca="false">SIN($A$4*AG65)-BC65*BD65</f>
        <v>-0.0278033560564571</v>
      </c>
      <c r="BI65" s="46" t="n">
        <f aca="false">SQRT(BF65^2+BG65^2+BH65^2)</f>
        <v>0.986514320498785</v>
      </c>
      <c r="BJ65" s="35" t="n">
        <f aca="false">AX65*BI65</f>
        <v>370812.988554089</v>
      </c>
    </row>
    <row r="66" customFormat="false" ht="15" hidden="false" customHeight="false" outlineLevel="0" collapsed="false">
      <c r="A66" s="0"/>
      <c r="B66" s="20"/>
      <c r="C66" s="15" t="n">
        <f aca="false">MOD(C65+3,24)</f>
        <v>0</v>
      </c>
      <c r="D66" s="36" t="n">
        <v>9</v>
      </c>
      <c r="E66" s="102" t="n">
        <f aca="false">input!$C$2</f>
        <v>10</v>
      </c>
      <c r="F66" s="102" t="n">
        <f aca="false">input!$D$2</f>
        <v>2022</v>
      </c>
      <c r="H66" s="39" t="n">
        <f aca="false">AM66</f>
        <v>64.8286549963939</v>
      </c>
      <c r="I66" s="48" t="n">
        <f aca="false">H66+1.02/(TAN($A$4*(H66+10.3/(H66+5.11)))*60)</f>
        <v>64.836590924028</v>
      </c>
      <c r="J66" s="39" t="n">
        <f aca="false">100*(1+COS($A$4*AQ66))/2</f>
        <v>98.9944705396048</v>
      </c>
      <c r="K66" s="48" t="n">
        <f aca="false">IF(AI66&gt;180,AT66-180,AT66+180)</f>
        <v>330.102103572674</v>
      </c>
      <c r="L66" s="10" t="n">
        <f aca="false">L65+1/8</f>
        <v>2459861.5</v>
      </c>
      <c r="M66" s="49" t="n">
        <f aca="false">(L66-2451545)/36525</f>
        <v>0.227693360711841</v>
      </c>
      <c r="N66" s="15" t="n">
        <f aca="false">MOD(280.46061837+360.98564736629*(L66-2451545)+0.000387933*M66^2-M66^3/38710000+$G$4,360)</f>
        <v>17.5969602321275</v>
      </c>
      <c r="O66" s="18" t="n">
        <f aca="false">0.60643382+1336.85522467*M66 - 0.00000313*M66^2 - INT(0.60643382+1336.85522467*M66 - 0.00000313*M66^2)</f>
        <v>0.999492548023284</v>
      </c>
      <c r="P66" s="15" t="n">
        <f aca="false">22640*SIN(Q66)-4586*SIN(Q66-2*S66)+2370*SIN(2*S66)+769*SIN(2*Q66)-668*SIN(R66)-412*SIN(2*T66)-212*SIN(2*Q66-2*S66)-206*SIN(Q66+R66-2*S66)+192*SIN(Q66+2*S66)-165*SIN(R66-2*S66)-125*SIN(S66)-110*SIN(Q66+R66)+148*SIN(Q66-R66)-55*SIN(2*T66-2*S66)</f>
        <v>17293.52126518</v>
      </c>
      <c r="Q66" s="18" t="n">
        <f aca="false">2*PI()*(0.374897+1325.55241*M66 - INT(0.374897+1325.55241*M66))</f>
        <v>1.22132576471824</v>
      </c>
      <c r="R66" s="26" t="n">
        <f aca="false">2*PI()*(0.99312619+99.99735956*M66 - 0.00000044*M66^2 - INT(0.99312619+99.99735956*M66- 0.00000044*M66^2))</f>
        <v>4.78691401545343</v>
      </c>
      <c r="S66" s="26" t="n">
        <f aca="false">2*PI()*(0.827361+1236.853086*M66 - INT(0.827361+1236.853086*M66))</f>
        <v>2.83118355860182</v>
      </c>
      <c r="T66" s="26" t="n">
        <f aca="false">2*PI()*(0.259086+1342.227825*M66 - INT(0.259086+1342.227825*M66))</f>
        <v>5.50061655759965</v>
      </c>
      <c r="U66" s="26" t="n">
        <f aca="false">T66+(P66+412*SIN(2*T66)+541*SIN(R66))/206264.8062</f>
        <v>5.57984495249379</v>
      </c>
      <c r="V66" s="26" t="n">
        <f aca="false">T66-2*S66</f>
        <v>-0.161750559603988</v>
      </c>
      <c r="W66" s="25" t="n">
        <f aca="false">-526*SIN(V66)+44*SIN(Q66+V66)-31*SIN(-Q66+V66)-23*SIN(R66+V66)+11*SIN(-R66+V66)-25*SIN(-2*Q66+T66)+21*SIN(-Q66+T66)</f>
        <v>165.997802735632</v>
      </c>
      <c r="X66" s="26" t="n">
        <f aca="false">2*PI()*(O66+P66/1296000-INT(O66+P66/1296000))</f>
        <v>0.0806529422349758</v>
      </c>
      <c r="Y66" s="26" t="n">
        <f aca="false">(18520*SIN(U66)+W66)/206264.8062</f>
        <v>-0.0572669814424947</v>
      </c>
      <c r="Z66" s="26" t="n">
        <f aca="false">Y66*180/PI()</f>
        <v>-3.28115634210895</v>
      </c>
      <c r="AA66" s="26" t="n">
        <f aca="false">COS(Y66)*COS(X66)</f>
        <v>0.995115337510852</v>
      </c>
      <c r="AB66" s="26" t="n">
        <f aca="false">COS(Y66)*SIN(X66)</f>
        <v>0.0804334593040208</v>
      </c>
      <c r="AC66" s="26" t="n">
        <f aca="false">SIN(Y66)</f>
        <v>-0.0572356853287478</v>
      </c>
      <c r="AD66" s="26" t="n">
        <f aca="false">COS($A$4*(23.4393-46.815*M66/3600))*AB66-SIN($A$4*(23.4393-46.815*M66/3600))*AC66</f>
        <v>0.0965622469378641</v>
      </c>
      <c r="AE66" s="26" t="n">
        <f aca="false">SIN($A$4*(23.4393-46.815*M66/3600))*AB66+COS($A$4*(23.4393-46.815*M66/3600))*AC66</f>
        <v>-0.0205230971584201</v>
      </c>
      <c r="AF66" s="26" t="n">
        <f aca="false">SQRT(1-AE66*AE66)</f>
        <v>0.999789379060923</v>
      </c>
      <c r="AG66" s="10" t="n">
        <f aca="false">ATAN(AE66/AF66)/$A$4</f>
        <v>-1.17596941213437</v>
      </c>
      <c r="AH66" s="26" t="n">
        <f aca="false">IF(24*ATAN(AD66/(AA66+AF66))/PI()&gt;0,24*ATAN(AD66/(AA66+AF66))/PI(),24*ATAN(AD66/(AA66+AF66))/PI()+24)</f>
        <v>0.369494294072591</v>
      </c>
      <c r="AI66" s="10" t="n">
        <f aca="false">IF(N66-15*AH66&gt;0,N66-15*AH66,360+N66-15*AH66)</f>
        <v>12.0545458210386</v>
      </c>
      <c r="AJ66" s="18" t="n">
        <f aca="false">0.950724+0.051818*COS(Q66)+0.009531*COS(2*S66-Q66)+0.007843*COS(2*S66)+0.002824*COS(2*Q66)+0.000857*COS(2*S66+Q66)+0.000533*COS(2*S66-R66)+0.000401*COS(2*S66-R66-Q66)+0.00032*COS(Q66-R66)-0.000271*COS(S66)</f>
        <v>0.97152175898438</v>
      </c>
      <c r="AK66" s="50" t="n">
        <f aca="false">ASIN(COS($A$4*$G$2)*COS($A$4*AG66)*COS($A$4*AI66)+SIN($A$4*$G$2)*SIN($A$4*AG66))/$A$4</f>
        <v>65.2353939776843</v>
      </c>
      <c r="AL66" s="18" t="n">
        <f aca="false">ASIN((0.9983271+0.0016764*COS($A$4*2*$G$2))*COS($A$4*AK66)*SIN($A$4*AJ66))/$A$4</f>
        <v>0.406738981290428</v>
      </c>
      <c r="AM66" s="18" t="n">
        <f aca="false">AK66-AL66</f>
        <v>64.8286549963939</v>
      </c>
      <c r="AN66" s="10" t="n">
        <f aca="false"> IF(280.4664567 + 360007.6982779*M66/10 + 0.03032028*M66^2/100 + M66^3/49931000&lt;0,MOD(280.4664567 + 360007.6982779*M66/10 + 0.03032028*M66^2/100 + M66^3/49931000+360,360),MOD(280.4664567 + 360007.6982779*M66/10 + 0.03032028*M66^2/100 + M66^3/49931000,360))</f>
        <v>197.60274272252</v>
      </c>
      <c r="AO66" s="27" t="n">
        <f aca="false"> AN66 + (1.9146 - 0.004817*M66 - 0.000014*M66^2)*SIN(R66)+ (0.019993 - 0.000101*M66)*SIN(2*R66)+ 0.00029*SIN(3*R66)</f>
        <v>195.691868827061</v>
      </c>
      <c r="AP66" s="18" t="n">
        <f aca="false">ACOS(COS(X66-$A$4*AO66)*COS(Y66))/$A$4</f>
        <v>168.459022677806</v>
      </c>
      <c r="AQ66" s="25" t="n">
        <f aca="false">180 - AP66 -0.1468*(1-0.0549*SIN(R66))*SIN($A$4*AP66)/(1-0.0167*SIN($A$4*AO66))</f>
        <v>11.5101385833888</v>
      </c>
      <c r="AR66" s="25" t="n">
        <f aca="false">SIN($A$4*AI66)</f>
        <v>0.208842797055777</v>
      </c>
      <c r="AS66" s="25" t="n">
        <f aca="false">COS($A$4*AI66)*SIN($A$4*$G$2) - TAN($A$4*AG66)*COS($A$4*$G$2)</f>
        <v>-0.363219613828368</v>
      </c>
      <c r="AT66" s="25" t="n">
        <f aca="false">IF(OR(AND(AR66*AS66&gt;0), AND(AR66&lt;0,AS66&gt;0)), MOD(ATAN2(AS66,AR66)/$A$4+360,360),  ATAN2(AS66,AR66)/$A$4)</f>
        <v>150.102103572674</v>
      </c>
      <c r="AU66" s="29" t="n">
        <f aca="false">(1+SIN($A$4*H66)*SIN($A$4*AJ66))*120*ASIN(0.272481*SIN($A$4*AJ66))/$A$4</f>
        <v>32.2525844078951</v>
      </c>
      <c r="AV66" s="10" t="n">
        <f aca="false">COS(X66)</f>
        <v>0.996749314142436</v>
      </c>
      <c r="AW66" s="10" t="n">
        <f aca="false">SIN(X66)</f>
        <v>0.0805655308217093</v>
      </c>
      <c r="AX66" s="30" t="n">
        <f aca="false"> 385000.56 + (-20905355*COS(Q66) - 3699111*COS(2*S66-Q66) - 2955968*COS(2*S66) - 569925*COS(2*Q66) + (1-0.002516*M66)*48888*COS(R66) - 3149*COS(2*T66)  +246158*COS(2*S66-2*Q66) -(1-0.002516*M66)*152138*COS(2*S66-R66-Q66) -170733*COS(2*S66+Q66) -(1-0.002516*M66)*204586*COS(2*S66-R66) -(1-0.002516*M66)*129620*COS(R66-Q66)  + 108743*COS(S66) +(1-0.002516*M66)*104755*COS(R66+Q66) +10321*COS(2*S66-2*T66) +79661*COS(Q66-2*T66) -34782*COS(4*S66-Q66) -23210*COS(3*Q66)  -21636*COS(4*S66-2*Q66) +(1-0.002516*M66)*24208*COS(2*S66+R66-Q66) +(1-0.002516*M66)*30824*COS(2*S66+R66) -8379*COS(S66-Q66) -(1-0.002516*M66)*16675*COS(S66+R66)  -(1-0.002516*M66)*12831*COS(2*S66-R66+Q66) -10445*COS(2*S66+2*Q66) -11650*COS(4*S66) +14403*COS(2*S66-3*Q66) -(1-0.002516*M66)*7003*COS(R66-2*Q66)  + (1-0.002516*M66)*10056*COS(2*S66-R66-2*Q66) +6322*COS(S66+Q66) -(1-0.002516*M66)*(1-0.002516*M66)*9884*COS(2*S66-2*R66) +(1-0.002516*M66)*5751*COS(R66+2*Q66) -(1-0.002516*M66)*(1-0.002516*M66)*4950*COS(2*S66-2*R66-Q66)  +4130*COS(2*S66+Q66-2*T66) -(1-0.002516*M66)*3958*COS(4*S66-R66-Q66) +3258*COS(3*S66-Q66) +(1-0.002516*M66)*2616*COS(2*S66+R66+Q66) -(1-0.002516*M66)*1897*COS(4*S66-R66-2*Q66)  -(1-0.002516*M66)*(1-0.002516*M66)*2117*COS(2*R66-Q66) +(1-0.002516*M66)*(1-0.002516*M66)*2354*COS(2*S66+2*R66-Q66) -1423*COS(4*S66+Q66) -1117*COS(4*Q66) -(1-0.002516*M66)*1571*COS(4*S66-R66)  -1739*COS(S66-2*Q66) -4421*COS(2*Q66-2*T66) +(1-0.002516*M66)*(1-0.002516*M66)*1165*COS(2*R66+Q66) +8752*COS(2*S66-Q66-2*T66))/1000</f>
        <v>376294.650213313</v>
      </c>
      <c r="AY66" s="10" t="n">
        <f aca="false">AY65+1/8</f>
        <v>9</v>
      </c>
      <c r="AZ66" s="17" t="n">
        <f aca="false">AZ65+1</f>
        <v>65</v>
      </c>
      <c r="BA66" s="32" t="n">
        <f aca="false">ATAN(0.99664719*TAN($A$4*input!$E$2))</f>
        <v>-0.400219206115995</v>
      </c>
      <c r="BB66" s="32" t="n">
        <f aca="false">COS(BA66)</f>
        <v>0.920975608992155</v>
      </c>
      <c r="BC66" s="32" t="n">
        <f aca="false">0.99664719*SIN(BA66)</f>
        <v>-0.388313912533463</v>
      </c>
      <c r="BD66" s="32" t="n">
        <f aca="false">6378.14/AX66</f>
        <v>0.016949855642073</v>
      </c>
      <c r="BE66" s="33" t="n">
        <f aca="false">MOD(N66-15*AH66,360)</f>
        <v>12.0545458210386</v>
      </c>
      <c r="BF66" s="27" t="n">
        <f aca="false">COS($A$4*AG66)*SIN($A$4*BE66)</f>
        <v>0.208798810389742</v>
      </c>
      <c r="BG66" s="27" t="n">
        <f aca="false">COS($A$4*AG66)*COS($A$4*BE66)-BB66*BD66</f>
        <v>0.962132844507228</v>
      </c>
      <c r="BH66" s="27" t="n">
        <f aca="false">SIN($A$4*AG66)-BC66*BD66</f>
        <v>-0.0139412323971693</v>
      </c>
      <c r="BI66" s="46" t="n">
        <f aca="false">SQRT(BF66^2+BG66^2+BH66^2)</f>
        <v>0.98462729581324</v>
      </c>
      <c r="BJ66" s="35" t="n">
        <f aca="false">AX66*BI66</f>
        <v>370509.983868523</v>
      </c>
    </row>
    <row r="67" customFormat="false" ht="15" hidden="false" customHeight="false" outlineLevel="0" collapsed="false">
      <c r="A67" s="0"/>
      <c r="B67" s="20"/>
      <c r="C67" s="15" t="n">
        <f aca="false">MOD(C66+3,24)</f>
        <v>3</v>
      </c>
      <c r="D67" s="17" t="n">
        <v>9</v>
      </c>
      <c r="E67" s="102" t="n">
        <f aca="false">input!$C$2</f>
        <v>10</v>
      </c>
      <c r="F67" s="102" t="n">
        <f aca="false">input!$D$2</f>
        <v>2022</v>
      </c>
      <c r="H67" s="39" t="n">
        <f aca="false">AM67</f>
        <v>30.6406846414554</v>
      </c>
      <c r="I67" s="48" t="n">
        <f aca="false">H67+1.02/(TAN($A$4*(H67+10.3/(H67+5.11)))*60)</f>
        <v>30.6690572071719</v>
      </c>
      <c r="J67" s="39" t="n">
        <f aca="false">100*(1+COS($A$4*AQ67))/2</f>
        <v>99.2474937759681</v>
      </c>
      <c r="K67" s="48" t="n">
        <f aca="false">IF(AI67&gt;180,AT67-180,AT67+180)</f>
        <v>284.554703466226</v>
      </c>
      <c r="L67" s="10" t="n">
        <f aca="false">L66+1/8</f>
        <v>2459861.625</v>
      </c>
      <c r="M67" s="49" t="n">
        <f aca="false">(L67-2451545)/36525</f>
        <v>0.227696783025325</v>
      </c>
      <c r="N67" s="15" t="n">
        <f aca="false">MOD(280.46061837+360.98564736629*(L67-2451545)+0.000387933*M67^2-M67^3/38710000+$G$4,360)</f>
        <v>62.7201661542058</v>
      </c>
      <c r="O67" s="18" t="n">
        <f aca="false">0.60643382+1336.85522467*M67 - 0.00000313*M67^2 - INT(0.60643382+1336.85522467*M67 - 0.00000313*M67^2)</f>
        <v>0.00406768567984273</v>
      </c>
      <c r="P67" s="15" t="n">
        <f aca="false">22640*SIN(Q67)-4586*SIN(Q67-2*S67)+2370*SIN(2*S67)+769*SIN(2*Q67)-668*SIN(R67)-412*SIN(2*T67)-212*SIN(2*Q67-2*S67)-206*SIN(Q67+R67-2*S67)+192*SIN(Q67+2*S67)-165*SIN(R67-2*S67)-125*SIN(S67)-110*SIN(Q67+R67)+148*SIN(Q67-R67)-55*SIN(2*T67-2*S67)</f>
        <v>17565.1624765181</v>
      </c>
      <c r="Q67" s="18" t="n">
        <f aca="false">2*PI()*(0.374897+1325.55241*M67 - INT(0.374897+1325.55241*M67))</f>
        <v>1.24982915769004</v>
      </c>
      <c r="R67" s="26" t="n">
        <f aca="false">2*PI()*(0.99312619+99.99735956*M67 - 0.00000044*M67^2 - INT(0.99312619+99.99735956*M67- 0.00000044*M67^2))</f>
        <v>4.78906426165154</v>
      </c>
      <c r="S67" s="26" t="n">
        <f aca="false">2*PI()*(0.827361+1236.853086*M67 - INT(0.827361+1236.853086*M67))</f>
        <v>2.85777964736639</v>
      </c>
      <c r="T67" s="26" t="n">
        <f aca="false">2*PI()*(0.259086+1342.227825*M67 - INT(0.259086+1342.227825*M67))</f>
        <v>5.52947852251705</v>
      </c>
      <c r="U67" s="26" t="n">
        <f aca="false">T67+(P67+412*SIN(2*T67)+541*SIN(R67))/206264.8062</f>
        <v>5.61002827602013</v>
      </c>
      <c r="V67" s="26" t="n">
        <f aca="false">T67-2*S67</f>
        <v>-0.186080772215717</v>
      </c>
      <c r="W67" s="25" t="n">
        <f aca="false">-526*SIN(V67)+44*SIN(Q67+V67)-31*SIN(-Q67+V67)-23*SIN(R67+V67)+11*SIN(-R67+V67)-25*SIN(-2*Q67+T67)+21*SIN(-Q67+T67)</f>
        <v>178.129241885079</v>
      </c>
      <c r="X67" s="26" t="n">
        <f aca="false">2*PI()*(O67+P67/1296000-INT(O67+P67/1296000))</f>
        <v>0.110716333693091</v>
      </c>
      <c r="Y67" s="26" t="n">
        <f aca="false">(18520*SIN(U67)+W67)/206264.8062</f>
        <v>-0.0551150858648256</v>
      </c>
      <c r="Z67" s="26" t="n">
        <f aca="false">Y67*180/PI()</f>
        <v>-3.15786180755565</v>
      </c>
      <c r="AA67" s="26" t="n">
        <f aca="false">COS(Y67)*COS(X67)</f>
        <v>0.992368050314557</v>
      </c>
      <c r="AB67" s="26" t="n">
        <f aca="false">COS(Y67)*SIN(X67)</f>
        <v>0.110322502681672</v>
      </c>
      <c r="AC67" s="26" t="n">
        <f aca="false">SIN(Y67)</f>
        <v>-0.055087186504097</v>
      </c>
      <c r="AD67" s="26" t="n">
        <f aca="false">COS($A$4*(23.4393-46.815*M67/3600))*AB67-SIN($A$4*(23.4393-46.815*M67/3600))*AC67</f>
        <v>0.123130998431175</v>
      </c>
      <c r="AE67" s="26" t="n">
        <f aca="false">SIN($A$4*(23.4393-46.815*M67/3600))*AB67+COS($A$4*(23.4393-46.815*M67/3600))*AC67</f>
        <v>-0.00666407834786773</v>
      </c>
      <c r="AF67" s="26" t="n">
        <f aca="false">SQRT(1-AE67*AE67)</f>
        <v>0.999977794783351</v>
      </c>
      <c r="AG67" s="10" t="n">
        <f aca="false">ATAN(AE67/AF67)/$A$4</f>
        <v>-0.381826389860755</v>
      </c>
      <c r="AH67" s="26" t="n">
        <f aca="false">IF(24*ATAN(AD67/(AA67+AF67))/PI()&gt;0,24*ATAN(AD67/(AA67+AF67))/PI(),24*ATAN(AD67/(AA67+AF67))/PI()+24)</f>
        <v>0.471532929254068</v>
      </c>
      <c r="AI67" s="10" t="n">
        <f aca="false">IF(N67-15*AH67&gt;0,N67-15*AH67,360+N67-15*AH67)</f>
        <v>55.6471722153948</v>
      </c>
      <c r="AJ67" s="18" t="n">
        <f aca="false">0.950724+0.051818*COS(Q67)+0.009531*COS(2*S67-Q67)+0.007843*COS(2*S67)+0.002824*COS(2*Q67)+0.000857*COS(2*S67+Q67)+0.000533*COS(2*S67-R67)+0.000401*COS(2*S67-R67-Q67)+0.00032*COS(Q67-R67)-0.000271*COS(S67)</f>
        <v>0.970426520739624</v>
      </c>
      <c r="AK67" s="50" t="n">
        <f aca="false">ASIN(COS($A$4*$G$2)*COS($A$4*AG67)*COS($A$4*AI67)+SIN($A$4*$G$2)*SIN($A$4*AG67))/$A$4</f>
        <v>31.4679610782919</v>
      </c>
      <c r="AL67" s="18" t="n">
        <f aca="false">ASIN((0.9983271+0.0016764*COS($A$4*2*$G$2))*COS($A$4*AK67)*SIN($A$4*AJ67))/$A$4</f>
        <v>0.827276436836521</v>
      </c>
      <c r="AM67" s="18" t="n">
        <f aca="false">AK67-AL67</f>
        <v>30.6406846414554</v>
      </c>
      <c r="AN67" s="10" t="n">
        <f aca="false"> IF(280.4664567 + 360007.6982779*M67/10 + 0.03032028*M67^2/100 + M67^3/49931000&lt;0,MOD(280.4664567 + 360007.6982779*M67/10 + 0.03032028*M67^2/100 + M67^3/49931000+360,360),MOD(280.4664567 + 360007.6982779*M67/10 + 0.03032028*M67^2/100 + M67^3/49931000,360))</f>
        <v>197.725948643007</v>
      </c>
      <c r="AO67" s="27" t="n">
        <f aca="false"> AN67 + (1.9146 - 0.004817*M67 - 0.000014*M67^2)*SIN(R67)+ (0.019993 - 0.000101*M67)*SIN(2*R67)+ 0.00029*SIN(3*R67)</f>
        <v>195.815300203125</v>
      </c>
      <c r="AP67" s="18" t="n">
        <f aca="false">ACOS(COS(X67-$A$4*AO67)*COS(Y67))/$A$4</f>
        <v>170.020291779623</v>
      </c>
      <c r="AQ67" s="25" t="n">
        <f aca="false">180 - AP67 -0.1468*(1-0.0549*SIN(R67))*SIN($A$4*AP67)/(1-0.0167*SIN($A$4*AO67))</f>
        <v>9.95299687170207</v>
      </c>
      <c r="AR67" s="25" t="n">
        <f aca="false">SIN($A$4*AI67)</f>
        <v>0.825578361829679</v>
      </c>
      <c r="AS67" s="25" t="n">
        <f aca="false">COS($A$4*AI67)*SIN($A$4*$G$2) - TAN($A$4*AG67)*COS($A$4*$G$2)</f>
        <v>-0.214350234079015</v>
      </c>
      <c r="AT67" s="25" t="n">
        <f aca="false">IF(OR(AND(AR67*AS67&gt;0), AND(AR67&lt;0,AS67&gt;0)), MOD(ATAN2(AS67,AR67)/$A$4+360,360),  ATAN2(AS67,AR67)/$A$4)</f>
        <v>104.554703466226</v>
      </c>
      <c r="AU67" s="29" t="n">
        <f aca="false">(1+SIN($A$4*H67)*SIN($A$4*AJ67))*120*ASIN(0.272481*SIN($A$4*AJ67))/$A$4</f>
        <v>32.0032064282806</v>
      </c>
      <c r="AV67" s="10" t="n">
        <f aca="false">COS(X67)</f>
        <v>0.993877205051459</v>
      </c>
      <c r="AW67" s="10" t="n">
        <f aca="false">SIN(X67)</f>
        <v>0.110490276853216</v>
      </c>
      <c r="AX67" s="30" t="n">
        <f aca="false"> 385000.56 + (-20905355*COS(Q67) - 3699111*COS(2*S67-Q67) - 2955968*COS(2*S67) - 569925*COS(2*Q67) + (1-0.002516*M67)*48888*COS(R67) - 3149*COS(2*T67)  +246158*COS(2*S67-2*Q67) -(1-0.002516*M67)*152138*COS(2*S67-R67-Q67) -170733*COS(2*S67+Q67) -(1-0.002516*M67)*204586*COS(2*S67-R67) -(1-0.002516*M67)*129620*COS(R67-Q67)  + 108743*COS(S67) +(1-0.002516*M67)*104755*COS(R67+Q67) +10321*COS(2*S67-2*T67) +79661*COS(Q67-2*T67) -34782*COS(4*S67-Q67) -23210*COS(3*Q67)  -21636*COS(4*S67-2*Q67) +(1-0.002516*M67)*24208*COS(2*S67+R67-Q67) +(1-0.002516*M67)*30824*COS(2*S67+R67) -8379*COS(S67-Q67) -(1-0.002516*M67)*16675*COS(S67+R67)  -(1-0.002516*M67)*12831*COS(2*S67-R67+Q67) -10445*COS(2*S67+2*Q67) -11650*COS(4*S67) +14403*COS(2*S67-3*Q67) -(1-0.002516*M67)*7003*COS(R67-2*Q67)  + (1-0.002516*M67)*10056*COS(2*S67-R67-2*Q67) +6322*COS(S67+Q67) -(1-0.002516*M67)*(1-0.002516*M67)*9884*COS(2*S67-2*R67) +(1-0.002516*M67)*5751*COS(R67+2*Q67) -(1-0.002516*M67)*(1-0.002516*M67)*4950*COS(2*S67-2*R67-Q67)  +4130*COS(2*S67+Q67-2*T67) -(1-0.002516*M67)*3958*COS(4*S67-R67-Q67) +3258*COS(3*S67-Q67) +(1-0.002516*M67)*2616*COS(2*S67+R67+Q67) -(1-0.002516*M67)*1897*COS(4*S67-R67-2*Q67)  -(1-0.002516*M67)*(1-0.002516*M67)*2117*COS(2*R67-Q67) +(1-0.002516*M67)*(1-0.002516*M67)*2354*COS(2*S67+2*R67-Q67) -1423*COS(4*S67+Q67) -1117*COS(4*Q67) -(1-0.002516*M67)*1571*COS(4*S67-R67)  -1739*COS(S67-2*Q67) -4421*COS(2*Q67-2*T67) +(1-0.002516*M67)*(1-0.002516*M67)*1165*COS(2*R67+Q67) +8752*COS(2*S67-Q67-2*T67))/1000</f>
        <v>376718.890501501</v>
      </c>
      <c r="AY67" s="10" t="n">
        <f aca="false">AY66+1/8</f>
        <v>9.125</v>
      </c>
      <c r="AZ67" s="17" t="n">
        <f aca="false">AZ66+1</f>
        <v>66</v>
      </c>
      <c r="BA67" s="32" t="n">
        <f aca="false">ATAN(0.99664719*TAN($A$4*input!$E$2))</f>
        <v>-0.400219206115995</v>
      </c>
      <c r="BB67" s="32" t="n">
        <f aca="false">COS(BA67)</f>
        <v>0.920975608992155</v>
      </c>
      <c r="BC67" s="32" t="n">
        <f aca="false">0.99664719*SIN(BA67)</f>
        <v>-0.388313912533463</v>
      </c>
      <c r="BD67" s="32" t="n">
        <f aca="false">6378.14/AX67</f>
        <v>0.0169307676381962</v>
      </c>
      <c r="BE67" s="33" t="n">
        <f aca="false">MOD(N67-15*AH67,360)</f>
        <v>55.6471722153948</v>
      </c>
      <c r="BF67" s="27" t="n">
        <f aca="false">COS($A$4*AG67)*SIN($A$4*BE67)</f>
        <v>0.825560029683294</v>
      </c>
      <c r="BG67" s="27" t="n">
        <f aca="false">COS($A$4*AG67)*COS($A$4*BE67)-BB67*BD67</f>
        <v>0.548682133275382</v>
      </c>
      <c r="BH67" s="27" t="n">
        <f aca="false">SIN($A$4*AG67)-BC67*BD67</f>
        <v>-8.96257240848106E-005</v>
      </c>
      <c r="BI67" s="46" t="n">
        <f aca="false">SQRT(BF67^2+BG67^2+BH67^2)</f>
        <v>0.991262555541707</v>
      </c>
      <c r="BJ67" s="35" t="n">
        <f aca="false">AX67*BI67</f>
        <v>373427.330119355</v>
      </c>
    </row>
    <row r="68" customFormat="false" ht="15" hidden="false" customHeight="false" outlineLevel="0" collapsed="false">
      <c r="A68" s="0"/>
      <c r="B68" s="20"/>
      <c r="C68" s="15" t="n">
        <f aca="false">MOD(C67+3,24)</f>
        <v>6</v>
      </c>
      <c r="D68" s="17" t="n">
        <v>9</v>
      </c>
      <c r="E68" s="102" t="n">
        <f aca="false">input!$C$2</f>
        <v>10</v>
      </c>
      <c r="F68" s="102" t="n">
        <f aca="false">input!$D$2</f>
        <v>2022</v>
      </c>
      <c r="H68" s="39" t="n">
        <f aca="false">AM68</f>
        <v>-9.62286394004143</v>
      </c>
      <c r="I68" s="48" t="n">
        <f aca="false">H68+1.02/(TAN($A$4*(H68+10.3/(H68+5.11)))*60)</f>
        <v>-9.7034982537594</v>
      </c>
      <c r="J68" s="39" t="n">
        <f aca="false">100*(1+COS($A$4*AQ68))/2</f>
        <v>99.4618044329751</v>
      </c>
      <c r="K68" s="48" t="n">
        <f aca="false">IF(AI68&gt;180,AT68-180,AT68+180)</f>
        <v>266.743325274535</v>
      </c>
      <c r="L68" s="10" t="n">
        <f aca="false">L67+1/8</f>
        <v>2459861.75</v>
      </c>
      <c r="M68" s="49" t="n">
        <f aca="false">(L68-2451545)/36525</f>
        <v>0.227700205338809</v>
      </c>
      <c r="N68" s="15" t="n">
        <f aca="false">MOD(280.46061837+360.98564736629*(L68-2451545)+0.000387933*M68^2-M68^3/38710000+$G$4,360)</f>
        <v>107.843372075353</v>
      </c>
      <c r="O68" s="18" t="n">
        <f aca="false">0.60643382+1336.85522467*M68 - 0.00000313*M68^2 - INT(0.60643382+1336.85522467*M68 - 0.00000313*M68^2)</f>
        <v>0.00864282333634492</v>
      </c>
      <c r="P68" s="15" t="n">
        <f aca="false">22640*SIN(Q68)-4586*SIN(Q68-2*S68)+2370*SIN(2*S68)+769*SIN(2*Q68)-668*SIN(R68)-412*SIN(2*T68)-212*SIN(2*Q68-2*S68)-206*SIN(Q68+R68-2*S68)+192*SIN(Q68+2*S68)-165*SIN(R68-2*S68)-125*SIN(S68)-110*SIN(Q68+R68)+148*SIN(Q68-R68)-55*SIN(2*T68-2*S68)</f>
        <v>17821.6381899953</v>
      </c>
      <c r="Q68" s="18" t="n">
        <f aca="false">2*PI()*(0.374897+1325.55241*M68 - INT(0.374897+1325.55241*M68))</f>
        <v>1.2783325506622</v>
      </c>
      <c r="R68" s="26" t="n">
        <f aca="false">2*PI()*(0.99312619+99.99735956*M68 - 0.00000044*M68^2 - INT(0.99312619+99.99735956*M68- 0.00000044*M68^2))</f>
        <v>4.79121450784964</v>
      </c>
      <c r="S68" s="26" t="n">
        <f aca="false">2*PI()*(0.827361+1236.853086*M68 - INT(0.827361+1236.853086*M68))</f>
        <v>2.88437573613131</v>
      </c>
      <c r="T68" s="26" t="n">
        <f aca="false">2*PI()*(0.259086+1342.227825*M68 - INT(0.259086+1342.227825*M68))</f>
        <v>5.55834048743446</v>
      </c>
      <c r="U68" s="26" t="n">
        <f aca="false">T68+(P68+412*SIN(2*T68)+541*SIN(R68))/206264.8062</f>
        <v>5.64014472756935</v>
      </c>
      <c r="V68" s="26" t="n">
        <f aca="false">T68-2*S68</f>
        <v>-0.210410984828159</v>
      </c>
      <c r="W68" s="25" t="n">
        <f aca="false">-526*SIN(V68)+44*SIN(Q68+V68)-31*SIN(-Q68+V68)-23*SIN(R68+V68)+11*SIN(-R68+V68)-25*SIN(-2*Q68+T68)+21*SIN(-Q68+T68)</f>
        <v>190.100196813695</v>
      </c>
      <c r="X68" s="26" t="n">
        <f aca="false">2*PI()*(O68+P68/1296000-INT(O68+P68/1296000))</f>
        <v>0.14070620074241</v>
      </c>
      <c r="Y68" s="26" t="n">
        <f aca="false">(18520*SIN(U68)+W68)/206264.8062</f>
        <v>-0.052917778974431</v>
      </c>
      <c r="Z68" s="26" t="n">
        <f aca="false">Y68*180/PI()</f>
        <v>-3.03196539644102</v>
      </c>
      <c r="AA68" s="26" t="n">
        <f aca="false">COS(Y68)*COS(X68)</f>
        <v>0.988731219013474</v>
      </c>
      <c r="AB68" s="26" t="n">
        <f aca="false">COS(Y68)*SIN(X68)</f>
        <v>0.140046057131112</v>
      </c>
      <c r="AC68" s="26" t="n">
        <f aca="false">SIN(Y68)</f>
        <v>-0.0528930848992567</v>
      </c>
      <c r="AD68" s="26" t="n">
        <f aca="false">COS($A$4*(23.4393-46.815*M68/3600))*AB68-SIN($A$4*(23.4393-46.815*M68/3600))*AC68</f>
        <v>0.149529775842952</v>
      </c>
      <c r="AE68" s="26" t="n">
        <f aca="false">SIN($A$4*(23.4393-46.815*M68/3600))*AB68+COS($A$4*(23.4393-46.815*M68/3600))*AC68</f>
        <v>0.00717096119688913</v>
      </c>
      <c r="AF68" s="26" t="n">
        <f aca="false">SQRT(1-AE68*AE68)</f>
        <v>0.999974288327211</v>
      </c>
      <c r="AG68" s="10" t="n">
        <f aca="false">ATAN(AE68/AF68)/$A$4</f>
        <v>0.410869333019148</v>
      </c>
      <c r="AH68" s="26" t="n">
        <f aca="false">IF(24*ATAN(AD68/(AA68+AF68))/PI()&gt;0,24*ATAN(AD68/(AA68+AF68))/PI(),24*ATAN(AD68/(AA68+AF68))/PI()+24)</f>
        <v>0.573326677732394</v>
      </c>
      <c r="AI68" s="10" t="n">
        <f aca="false">IF(N68-15*AH68&gt;0,N68-15*AH68,360+N68-15*AH68)</f>
        <v>99.2434719093669</v>
      </c>
      <c r="AJ68" s="18" t="n">
        <f aca="false">0.950724+0.051818*COS(Q68)+0.009531*COS(2*S68-Q68)+0.007843*COS(2*S68)+0.002824*COS(2*Q68)+0.000857*COS(2*S68+Q68)+0.000533*COS(2*S68-R68)+0.000401*COS(2*S68-R68-Q68)+0.00032*COS(Q68-R68)-0.000271*COS(S68)</f>
        <v>0.969302618776112</v>
      </c>
      <c r="AK68" s="50" t="n">
        <f aca="false">ASIN(COS($A$4*$G$2)*COS($A$4*AG68)*COS($A$4*AI68)+SIN($A$4*$G$2)*SIN($A$4*AG68))/$A$4</f>
        <v>-8.66511335791763</v>
      </c>
      <c r="AL68" s="18" t="n">
        <f aca="false">ASIN((0.9983271+0.0016764*COS($A$4*2*$G$2))*COS($A$4*AK68)*SIN($A$4*AJ68))/$A$4</f>
        <v>0.957750582123804</v>
      </c>
      <c r="AM68" s="18" t="n">
        <f aca="false">AK68-AL68</f>
        <v>-9.62286394004143</v>
      </c>
      <c r="AN68" s="10" t="n">
        <f aca="false"> IF(280.4664567 + 360007.6982779*M68/10 + 0.03032028*M68^2/100 + M68^3/49931000&lt;0,MOD(280.4664567 + 360007.6982779*M68/10 + 0.03032028*M68^2/100 + M68^3/49931000+360,360),MOD(280.4664567 + 360007.6982779*M68/10 + 0.03032028*M68^2/100 + M68^3/49931000,360))</f>
        <v>197.849154563492</v>
      </c>
      <c r="AO68" s="27" t="n">
        <f aca="false"> AN68 + (1.9146 - 0.004817*M68 - 0.000014*M68^2)*SIN(R68)+ (0.019993 - 0.000101*M68)*SIN(2*R68)+ 0.00029*SIN(3*R68)</f>
        <v>195.938740445044</v>
      </c>
      <c r="AP68" s="18" t="n">
        <f aca="false">ACOS(COS(X68-$A$4*AO68)*COS(Y68))/$A$4</f>
        <v>171.563183026935</v>
      </c>
      <c r="AQ68" s="25" t="n">
        <f aca="false">180 - AP68 -0.1468*(1-0.0549*SIN(R68))*SIN($A$4*AP68)/(1-0.0167*SIN($A$4*AO68))</f>
        <v>8.41420359378866</v>
      </c>
      <c r="AR68" s="25" t="n">
        <f aca="false">SIN($A$4*AI68)</f>
        <v>0.987014674627336</v>
      </c>
      <c r="AS68" s="25" t="n">
        <f aca="false">COS($A$4*AI68)*SIN($A$4*$G$2) - TAN($A$4*AG68)*COS($A$4*$G$2)</f>
        <v>0.0561621096346225</v>
      </c>
      <c r="AT68" s="25" t="n">
        <f aca="false">IF(OR(AND(AR68*AS68&gt;0), AND(AR68&lt;0,AS68&gt;0)), MOD(ATAN2(AS68,AR68)/$A$4+360,360),  ATAN2(AS68,AR68)/$A$4)</f>
        <v>86.7433252745348</v>
      </c>
      <c r="AU68" s="29" t="n">
        <f aca="false">(1+SIN($A$4*H68)*SIN($A$4*AJ68))*120*ASIN(0.272481*SIN($A$4*AJ68))/$A$4</f>
        <v>31.6029646478093</v>
      </c>
      <c r="AV68" s="10" t="n">
        <f aca="false">COS(X68)</f>
        <v>0.990117203849671</v>
      </c>
      <c r="AW68" s="10" t="n">
        <f aca="false">SIN(X68)</f>
        <v>0.140242371061349</v>
      </c>
      <c r="AX68" s="30" t="n">
        <f aca="false"> 385000.56 + (-20905355*COS(Q68) - 3699111*COS(2*S68-Q68) - 2955968*COS(2*S68) - 569925*COS(2*Q68) + (1-0.002516*M68)*48888*COS(R68) - 3149*COS(2*T68)  +246158*COS(2*S68-2*Q68) -(1-0.002516*M68)*152138*COS(2*S68-R68-Q68) -170733*COS(2*S68+Q68) -(1-0.002516*M68)*204586*COS(2*S68-R68) -(1-0.002516*M68)*129620*COS(R68-Q68)  + 108743*COS(S68) +(1-0.002516*M68)*104755*COS(R68+Q68) +10321*COS(2*S68-2*T68) +79661*COS(Q68-2*T68) -34782*COS(4*S68-Q68) -23210*COS(3*Q68)  -21636*COS(4*S68-2*Q68) +(1-0.002516*M68)*24208*COS(2*S68+R68-Q68) +(1-0.002516*M68)*30824*COS(2*S68+R68) -8379*COS(S68-Q68) -(1-0.002516*M68)*16675*COS(S68+R68)  -(1-0.002516*M68)*12831*COS(2*S68-R68+Q68) -10445*COS(2*S68+2*Q68) -11650*COS(4*S68) +14403*COS(2*S68-3*Q68) -(1-0.002516*M68)*7003*COS(R68-2*Q68)  + (1-0.002516*M68)*10056*COS(2*S68-R68-2*Q68) +6322*COS(S68+Q68) -(1-0.002516*M68)*(1-0.002516*M68)*9884*COS(2*S68-2*R68) +(1-0.002516*M68)*5751*COS(R68+2*Q68) -(1-0.002516*M68)*(1-0.002516*M68)*4950*COS(2*S68-2*R68-Q68)  +4130*COS(2*S68+Q68-2*T68) -(1-0.002516*M68)*3958*COS(4*S68-R68-Q68) +3258*COS(3*S68-Q68) +(1-0.002516*M68)*2616*COS(2*S68+R68+Q68) -(1-0.002516*M68)*1897*COS(4*S68-R68-2*Q68)  -(1-0.002516*M68)*(1-0.002516*M68)*2117*COS(2*R68-Q68) +(1-0.002516*M68)*(1-0.002516*M68)*2354*COS(2*S68+2*R68-Q68) -1423*COS(4*S68+Q68) -1117*COS(4*Q68) -(1-0.002516*M68)*1571*COS(4*S68-R68)  -1739*COS(S68-2*Q68) -4421*COS(2*Q68-2*T68) +(1-0.002516*M68)*(1-0.002516*M68)*1165*COS(2*R68+Q68) +8752*COS(2*S68-Q68-2*T68))/1000</f>
        <v>377154.444505998</v>
      </c>
      <c r="AY68" s="10" t="n">
        <f aca="false">AY67+1/8</f>
        <v>9.25</v>
      </c>
      <c r="AZ68" s="17" t="n">
        <f aca="false">AZ67+1</f>
        <v>67</v>
      </c>
      <c r="BA68" s="32" t="n">
        <f aca="false">ATAN(0.99664719*TAN($A$4*input!$E$2))</f>
        <v>-0.400219206115995</v>
      </c>
      <c r="BB68" s="32" t="n">
        <f aca="false">COS(BA68)</f>
        <v>0.920975608992155</v>
      </c>
      <c r="BC68" s="32" t="n">
        <f aca="false">0.99664719*SIN(BA68)</f>
        <v>-0.388313912533463</v>
      </c>
      <c r="BD68" s="32" t="n">
        <f aca="false">6378.14/AX68</f>
        <v>0.0169112152671412</v>
      </c>
      <c r="BE68" s="33" t="n">
        <f aca="false">MOD(N68-15*AH68,360)</f>
        <v>99.2434719093669</v>
      </c>
      <c r="BF68" s="27" t="n">
        <f aca="false">COS($A$4*AG68)*SIN($A$4*BE68)</f>
        <v>0.986989296828984</v>
      </c>
      <c r="BG68" s="27" t="n">
        <f aca="false">COS($A$4*AG68)*COS($A$4*BE68)-BB68*BD68</f>
        <v>-0.176200796186709</v>
      </c>
      <c r="BH68" s="27" t="n">
        <f aca="false">SIN($A$4*AG68)-BC68*BD68</f>
        <v>0.0137378213629684</v>
      </c>
      <c r="BI68" s="46" t="n">
        <f aca="false">SQRT(BF68^2+BG68^2+BH68^2)</f>
        <v>1.00268804738443</v>
      </c>
      <c r="BJ68" s="35" t="n">
        <f aca="false">AX68*BI68</f>
        <v>378168.253524079</v>
      </c>
    </row>
    <row r="69" customFormat="false" ht="15" hidden="false" customHeight="false" outlineLevel="0" collapsed="false">
      <c r="A69" s="0"/>
      <c r="B69" s="20"/>
      <c r="C69" s="15" t="n">
        <f aca="false">MOD(C68+3,24)</f>
        <v>9</v>
      </c>
      <c r="D69" s="17" t="n">
        <v>9</v>
      </c>
      <c r="E69" s="102" t="n">
        <f aca="false">input!$C$2</f>
        <v>10</v>
      </c>
      <c r="F69" s="102" t="n">
        <f aca="false">input!$D$2</f>
        <v>2022</v>
      </c>
      <c r="H69" s="39" t="n">
        <f aca="false">AM69</f>
        <v>-48.5219642524183</v>
      </c>
      <c r="I69" s="48" t="n">
        <f aca="false">H69+1.02/(TAN($A$4*(H69+10.3/(H69+5.11)))*60)</f>
        <v>-48.5368680102376</v>
      </c>
      <c r="J69" s="39" t="n">
        <f aca="false">100*(1+COS($A$4*AQ69))/2</f>
        <v>99.6374986037763</v>
      </c>
      <c r="K69" s="48" t="n">
        <f aca="false">IF(AI69&gt;180,AT69-180,AT69+180)</f>
        <v>244.191199051206</v>
      </c>
      <c r="L69" s="10" t="n">
        <f aca="false">L68+1/8</f>
        <v>2459861.875</v>
      </c>
      <c r="M69" s="49" t="n">
        <f aca="false">(L69-2451545)/36525</f>
        <v>0.227703627652293</v>
      </c>
      <c r="N69" s="15" t="n">
        <f aca="false">MOD(280.46061837+360.98564736629*(L69-2451545)+0.000387933*M69^2-M69^3/38710000+$G$4,360)</f>
        <v>152.9665779965</v>
      </c>
      <c r="O69" s="18" t="n">
        <f aca="false">0.60643382+1336.85522467*M69 - 0.00000313*M69^2 - INT(0.60643382+1336.85522467*M69 - 0.00000313*M69^2)</f>
        <v>0.0132179609930176</v>
      </c>
      <c r="P69" s="15" t="n">
        <f aca="false">22640*SIN(Q69)-4586*SIN(Q69-2*S69)+2370*SIN(2*S69)+769*SIN(2*Q69)-668*SIN(R69)-412*SIN(2*T69)-212*SIN(2*Q69-2*S69)-206*SIN(Q69+R69-2*S69)+192*SIN(Q69+2*S69)-165*SIN(R69-2*S69)-125*SIN(S69)-110*SIN(Q69+R69)+148*SIN(Q69-R69)-55*SIN(2*T69-2*S69)</f>
        <v>18062.5341729749</v>
      </c>
      <c r="Q69" s="18" t="n">
        <f aca="false">2*PI()*(0.374897+1325.55241*M69 - INT(0.374897+1325.55241*M69))</f>
        <v>1.30683594363435</v>
      </c>
      <c r="R69" s="26" t="n">
        <f aca="false">2*PI()*(0.99312619+99.99735956*M69 - 0.00000044*M69^2 - INT(0.99312619+99.99735956*M69- 0.00000044*M69^2))</f>
        <v>4.79336475404775</v>
      </c>
      <c r="S69" s="26" t="n">
        <f aca="false">2*PI()*(0.827361+1236.853086*M69 - INT(0.827361+1236.853086*M69))</f>
        <v>2.91097182489623</v>
      </c>
      <c r="T69" s="26" t="n">
        <f aca="false">2*PI()*(0.259086+1342.227825*M69 - INT(0.259086+1342.227825*M69))</f>
        <v>5.58720245235257</v>
      </c>
      <c r="U69" s="26" t="n">
        <f aca="false">T69+(P69+412*SIN(2*T69)+541*SIN(R69))/206264.8062</f>
        <v>5.6701922635096</v>
      </c>
      <c r="V69" s="26" t="n">
        <f aca="false">T69-2*S69</f>
        <v>-0.234741197439888</v>
      </c>
      <c r="W69" s="25" t="n">
        <f aca="false">-526*SIN(V69)+44*SIN(Q69+V69)-31*SIN(-Q69+V69)-23*SIN(R69+V69)+11*SIN(-R69+V69)-25*SIN(-2*Q69+T69)+21*SIN(-Q69+T69)</f>
        <v>201.903383147797</v>
      </c>
      <c r="X69" s="26" t="n">
        <f aca="false">2*PI()*(O69+P69/1296000-INT(O69+P69/1296000))</f>
        <v>0.170620535127869</v>
      </c>
      <c r="Y69" s="26" t="n">
        <f aca="false">(18520*SIN(U69)+W69)/206264.8062</f>
        <v>-0.0506775180345804</v>
      </c>
      <c r="Z69" s="26" t="n">
        <f aca="false">Y69*180/PI()</f>
        <v>-2.90360789957957</v>
      </c>
      <c r="AA69" s="26" t="n">
        <f aca="false">COS(Y69)*COS(X69)</f>
        <v>0.984214404692068</v>
      </c>
      <c r="AB69" s="26" t="n">
        <f aca="false">COS(Y69)*SIN(X69)</f>
        <v>0.169575919808036</v>
      </c>
      <c r="AC69" s="26" t="n">
        <f aca="false">SIN(Y69)</f>
        <v>-0.0506558290613832</v>
      </c>
      <c r="AD69" s="26" t="n">
        <f aca="false">COS($A$4*(23.4393-46.815*M69/3600))*AB69-SIN($A$4*(23.4393-46.815*M69/3600))*AC69</f>
        <v>0.175733676851753</v>
      </c>
      <c r="AE69" s="26" t="n">
        <f aca="false">SIN($A$4*(23.4393-46.815*M69/3600))*AB69+COS($A$4*(23.4393-46.815*M69/3600))*AC69</f>
        <v>0.0209685578140477</v>
      </c>
      <c r="AF69" s="26" t="n">
        <f aca="false">SQRT(1-AE69*AE69)</f>
        <v>0.999780135621427</v>
      </c>
      <c r="AG69" s="10" t="n">
        <f aca="false">ATAN(AE69/AF69)/$A$4</f>
        <v>1.20149792204308</v>
      </c>
      <c r="AH69" s="26" t="n">
        <f aca="false">IF(24*ATAN(AD69/(AA69+AF69))/PI()&gt;0,24*ATAN(AD69/(AA69+AF69))/PI(),24*ATAN(AD69/(AA69+AF69))/PI()+24)</f>
        <v>0.674907043509545</v>
      </c>
      <c r="AI69" s="10" t="n">
        <f aca="false">IF(N69-15*AH69&gt;0,N69-15*AH69,360+N69-15*AH69)</f>
        <v>142.842972343857</v>
      </c>
      <c r="AJ69" s="18" t="n">
        <f aca="false">0.950724+0.051818*COS(Q69)+0.009531*COS(2*S69-Q69)+0.007843*COS(2*S69)+0.002824*COS(2*Q69)+0.000857*COS(2*S69+Q69)+0.000533*COS(2*S69-R69)+0.000401*COS(2*S69-R69-Q69)+0.00032*COS(Q69-R69)-0.000271*COS(S69)</f>
        <v>0.968151116863976</v>
      </c>
      <c r="AK69" s="50" t="n">
        <f aca="false">ASIN(COS($A$4*$G$2)*COS($A$4*AG69)*COS($A$4*AI69)+SIN($A$4*$G$2)*SIN($A$4*AG69))/$A$4</f>
        <v>-47.8728973974978</v>
      </c>
      <c r="AL69" s="18" t="n">
        <f aca="false">ASIN((0.9983271+0.0016764*COS($A$4*2*$G$2))*COS($A$4*AK69)*SIN($A$4*AJ69))/$A$4</f>
        <v>0.649066854920449</v>
      </c>
      <c r="AM69" s="18" t="n">
        <f aca="false">AK69-AL69</f>
        <v>-48.5219642524183</v>
      </c>
      <c r="AN69" s="10" t="n">
        <f aca="false"> IF(280.4664567 + 360007.6982779*M69/10 + 0.03032028*M69^2/100 + M69^3/49931000&lt;0,MOD(280.4664567 + 360007.6982779*M69/10 + 0.03032028*M69^2/100 + M69^3/49931000+360,360),MOD(280.4664567 + 360007.6982779*M69/10 + 0.03032028*M69^2/100 + M69^3/49931000,360))</f>
        <v>197.972360483978</v>
      </c>
      <c r="AO69" s="27" t="n">
        <f aca="false"> AN69 + (1.9146 - 0.004817*M69 - 0.000014*M69^2)*SIN(R69)+ (0.019993 - 0.000101*M69)*SIN(2*R69)+ 0.00029*SIN(3*R69)</f>
        <v>196.062189552931</v>
      </c>
      <c r="AP69" s="18" t="n">
        <f aca="false">ACOS(COS(X69-$A$4*AO69)*COS(Y69))/$A$4</f>
        <v>173.077911483834</v>
      </c>
      <c r="AQ69" s="25" t="n">
        <f aca="false">180 - AP69 -0.1468*(1-0.0549*SIN(R69))*SIN($A$4*AP69)/(1-0.0167*SIN($A$4*AO69))</f>
        <v>6.90351394755292</v>
      </c>
      <c r="AR69" s="25" t="n">
        <f aca="false">SIN($A$4*AI69)</f>
        <v>0.604001540353103</v>
      </c>
      <c r="AS69" s="25" t="n">
        <f aca="false">COS($A$4*AI69)*SIN($A$4*$G$2) - TAN($A$4*AG69)*COS($A$4*$G$2)</f>
        <v>0.292100221145313</v>
      </c>
      <c r="AT69" s="25" t="n">
        <f aca="false">IF(OR(AND(AR69*AS69&gt;0), AND(AR69&lt;0,AS69&gt;0)), MOD(ATAN2(AS69,AR69)/$A$4+360,360),  ATAN2(AS69,AR69)/$A$4)</f>
        <v>64.1911990512065</v>
      </c>
      <c r="AU69" s="29" t="n">
        <f aca="false">(1+SIN($A$4*H69)*SIN($A$4*AJ69))*120*ASIN(0.272481*SIN($A$4*AJ69))/$A$4</f>
        <v>31.2542161399302</v>
      </c>
      <c r="AV69" s="10" t="n">
        <f aca="false">COS(X69)</f>
        <v>0.985479593569163</v>
      </c>
      <c r="AW69" s="10" t="n">
        <f aca="false">SIN(X69)</f>
        <v>0.169793906424104</v>
      </c>
      <c r="AX69" s="30" t="n">
        <f aca="false"> 385000.56 + (-20905355*COS(Q69) - 3699111*COS(2*S69-Q69) - 2955968*COS(2*S69) - 569925*COS(2*Q69) + (1-0.002516*M69)*48888*COS(R69) - 3149*COS(2*T69)  +246158*COS(2*S69-2*Q69) -(1-0.002516*M69)*152138*COS(2*S69-R69-Q69) -170733*COS(2*S69+Q69) -(1-0.002516*M69)*204586*COS(2*S69-R69) -(1-0.002516*M69)*129620*COS(R69-Q69)  + 108743*COS(S69) +(1-0.002516*M69)*104755*COS(R69+Q69) +10321*COS(2*S69-2*T69) +79661*COS(Q69-2*T69) -34782*COS(4*S69-Q69) -23210*COS(3*Q69)  -21636*COS(4*S69-2*Q69) +(1-0.002516*M69)*24208*COS(2*S69+R69-Q69) +(1-0.002516*M69)*30824*COS(2*S69+R69) -8379*COS(S69-Q69) -(1-0.002516*M69)*16675*COS(S69+R69)  -(1-0.002516*M69)*12831*COS(2*S69-R69+Q69) -10445*COS(2*S69+2*Q69) -11650*COS(4*S69) +14403*COS(2*S69-3*Q69) -(1-0.002516*M69)*7003*COS(R69-2*Q69)  + (1-0.002516*M69)*10056*COS(2*S69-R69-2*Q69) +6322*COS(S69+Q69) -(1-0.002516*M69)*(1-0.002516*M69)*9884*COS(2*S69-2*R69) +(1-0.002516*M69)*5751*COS(R69+2*Q69) -(1-0.002516*M69)*(1-0.002516*M69)*4950*COS(2*S69-2*R69-Q69)  +4130*COS(2*S69+Q69-2*T69) -(1-0.002516*M69)*3958*COS(4*S69-R69-Q69) +3258*COS(3*S69-Q69) +(1-0.002516*M69)*2616*COS(2*S69+R69+Q69) -(1-0.002516*M69)*1897*COS(4*S69-R69-2*Q69)  -(1-0.002516*M69)*(1-0.002516*M69)*2117*COS(2*R69-Q69) +(1-0.002516*M69)*(1-0.002516*M69)*2354*COS(2*S69+2*R69-Q69) -1423*COS(4*S69+Q69) -1117*COS(4*Q69) -(1-0.002516*M69)*1571*COS(4*S69-R69)  -1739*COS(S69-2*Q69) -4421*COS(2*Q69-2*T69) +(1-0.002516*M69)*(1-0.002516*M69)*1165*COS(2*R69+Q69) +8752*COS(2*S69-Q69-2*T69))/1000</f>
        <v>377600.998624049</v>
      </c>
      <c r="AY69" s="10" t="n">
        <f aca="false">AY68+1/8</f>
        <v>9.375</v>
      </c>
      <c r="AZ69" s="17" t="n">
        <f aca="false">AZ68+1</f>
        <v>68</v>
      </c>
      <c r="BA69" s="32" t="n">
        <f aca="false">ATAN(0.99664719*TAN($A$4*input!$E$2))</f>
        <v>-0.400219206115995</v>
      </c>
      <c r="BB69" s="32" t="n">
        <f aca="false">COS(BA69)</f>
        <v>0.920975608992155</v>
      </c>
      <c r="BC69" s="32" t="n">
        <f aca="false">0.99664719*SIN(BA69)</f>
        <v>-0.388313912533463</v>
      </c>
      <c r="BD69" s="32" t="n">
        <f aca="false">6378.14/AX69</f>
        <v>0.0168912159216779</v>
      </c>
      <c r="BE69" s="33" t="n">
        <f aca="false">MOD(N69-15*AH69,360)</f>
        <v>142.842972343857</v>
      </c>
      <c r="BF69" s="27" t="n">
        <f aca="false">COS($A$4*AG69)*SIN($A$4*BE69)</f>
        <v>0.603868741929777</v>
      </c>
      <c r="BG69" s="27" t="n">
        <f aca="false">COS($A$4*AG69)*COS($A$4*BE69)-BB69*BD69</f>
        <v>-0.812364318327298</v>
      </c>
      <c r="BH69" s="27" t="n">
        <f aca="false">SIN($A$4*AG69)-BC69*BD69</f>
        <v>0.027527651956042</v>
      </c>
      <c r="BI69" s="46" t="n">
        <f aca="false">SQRT(BF69^2+BG69^2+BH69^2)</f>
        <v>1.01259617557713</v>
      </c>
      <c r="BJ69" s="35" t="n">
        <f aca="false">AX69*BI69</f>
        <v>382357.327100819</v>
      </c>
    </row>
    <row r="70" customFormat="false" ht="15" hidden="false" customHeight="false" outlineLevel="0" collapsed="false">
      <c r="A70" s="0"/>
      <c r="B70" s="20"/>
      <c r="C70" s="15" t="n">
        <f aca="false">MOD(C69+3,24)</f>
        <v>12</v>
      </c>
      <c r="D70" s="17" t="n">
        <v>9</v>
      </c>
      <c r="E70" s="102" t="n">
        <f aca="false">input!$C$2</f>
        <v>10</v>
      </c>
      <c r="F70" s="102" t="n">
        <f aca="false">input!$D$2</f>
        <v>2022</v>
      </c>
      <c r="H70" s="39" t="n">
        <f aca="false">AM70</f>
        <v>-68.4398807891834</v>
      </c>
      <c r="I70" s="48" t="n">
        <f aca="false">H70+1.02/(TAN($A$4*(H70+10.3/(H70+5.11)))*60)</f>
        <v>-68.4465421533926</v>
      </c>
      <c r="J70" s="39" t="n">
        <f aca="false">100*(1+COS($A$4*AQ70))/2</f>
        <v>99.7747152678618</v>
      </c>
      <c r="K70" s="48" t="n">
        <f aca="false">IF(AI70&gt;180,AT70-180,AT70+180)</f>
        <v>162.512250880648</v>
      </c>
      <c r="L70" s="10" t="n">
        <f aca="false">L69+1/8</f>
        <v>2459862</v>
      </c>
      <c r="M70" s="49" t="n">
        <f aca="false">(L70-2451545)/36525</f>
        <v>0.227707049965777</v>
      </c>
      <c r="N70" s="15" t="n">
        <f aca="false">MOD(280.46061837+360.98564736629*(L70-2451545)+0.000387933*M70^2-M70^3/38710000+$G$4,360)</f>
        <v>198.089783918113</v>
      </c>
      <c r="O70" s="18" t="n">
        <f aca="false">0.60643382+1336.85522467*M70 - 0.00000313*M70^2 - INT(0.60643382+1336.85522467*M70 - 0.00000313*M70^2)</f>
        <v>0.0177930986495198</v>
      </c>
      <c r="P70" s="15" t="n">
        <f aca="false">22640*SIN(Q70)-4586*SIN(Q70-2*S70)+2370*SIN(2*S70)+769*SIN(2*Q70)-668*SIN(R70)-412*SIN(2*T70)-212*SIN(2*Q70-2*S70)-206*SIN(Q70+R70-2*S70)+192*SIN(Q70+2*S70)-165*SIN(R70-2*S70)-125*SIN(S70)-110*SIN(Q70+R70)+148*SIN(Q70-R70)-55*SIN(2*T70-2*S70)</f>
        <v>18287.4553796599</v>
      </c>
      <c r="Q70" s="18" t="n">
        <f aca="false">2*PI()*(0.374897+1325.55241*M70 - INT(0.374897+1325.55241*M70))</f>
        <v>1.33533933660615</v>
      </c>
      <c r="R70" s="26" t="n">
        <f aca="false">2*PI()*(0.99312619+99.99735956*M70 - 0.00000044*M70^2 - INT(0.99312619+99.99735956*M70- 0.00000044*M70^2))</f>
        <v>4.79551500024585</v>
      </c>
      <c r="S70" s="26" t="n">
        <f aca="false">2*PI()*(0.827361+1236.853086*M70 - INT(0.827361+1236.853086*M70))</f>
        <v>2.93756791366115</v>
      </c>
      <c r="T70" s="26" t="n">
        <f aca="false">2*PI()*(0.259086+1342.227825*M70 - INT(0.259086+1342.227825*M70))</f>
        <v>5.61606441726998</v>
      </c>
      <c r="U70" s="26" t="n">
        <f aca="false">T70+(P70+412*SIN(2*T70)+541*SIN(R70))/206264.8062</f>
        <v>5.70016891122533</v>
      </c>
      <c r="V70" s="26" t="n">
        <f aca="false">T70-2*S70</f>
        <v>-0.259071410052331</v>
      </c>
      <c r="W70" s="25" t="n">
        <f aca="false">-526*SIN(V70)+44*SIN(Q70+V70)-31*SIN(-Q70+V70)-23*SIN(R70+V70)+11*SIN(-R70+V70)-25*SIN(-2*Q70+T70)+21*SIN(-Q70+T70)</f>
        <v>213.531804156863</v>
      </c>
      <c r="X70" s="26" t="n">
        <f aca="false">2*PI()*(O70+P70/1296000-INT(O70+P70/1296000))</f>
        <v>0.200457421611253</v>
      </c>
      <c r="Y70" s="26" t="n">
        <f aca="false">(18520*SIN(U70)+W70)/206264.8062</f>
        <v>-0.0483967832646203</v>
      </c>
      <c r="Z70" s="26" t="n">
        <f aca="false">Y70*180/PI()</f>
        <v>-2.77293142307212</v>
      </c>
      <c r="AA70" s="26" t="n">
        <f aca="false">COS(Y70)*COS(X70)</f>
        <v>0.978828150407927</v>
      </c>
      <c r="AB70" s="26" t="n">
        <f aca="false">COS(Y70)*SIN(X70)</f>
        <v>0.198884467661938</v>
      </c>
      <c r="AC70" s="26" t="n">
        <f aca="false">SIN(Y70)</f>
        <v>-0.0483778925938691</v>
      </c>
      <c r="AD70" s="26" t="n">
        <f aca="false">COS($A$4*(23.4393-46.815*M70/3600))*AB70-SIN($A$4*(23.4393-46.815*M70/3600))*AC70</f>
        <v>0.201718341064007</v>
      </c>
      <c r="AE70" s="26" t="n">
        <f aca="false">SIN($A$4*(23.4393-46.815*M70/3600))*AB70+COS($A$4*(23.4393-46.815*M70/3600))*AC70</f>
        <v>0.0347154554540413</v>
      </c>
      <c r="AF70" s="26" t="n">
        <f aca="false">SQRT(1-AE70*AE70)</f>
        <v>0.999397236914641</v>
      </c>
      <c r="AG70" s="10" t="n">
        <f aca="false">ATAN(AE70/AF70)/$A$4</f>
        <v>1.98944881955868</v>
      </c>
      <c r="AH70" s="26" t="n">
        <f aca="false">IF(24*ATAN(AD70/(AA70+AF70))/PI()&gt;0,24*ATAN(AD70/(AA70+AF70))/PI(),24*ATAN(AD70/(AA70+AF70))/PI()+24)</f>
        <v>0.776305203162165</v>
      </c>
      <c r="AI70" s="10" t="n">
        <f aca="false">IF(N70-15*AH70&gt;0,N70-15*AH70,360+N70-15*AH70)</f>
        <v>186.44520587068</v>
      </c>
      <c r="AJ70" s="18" t="n">
        <f aca="false">0.950724+0.051818*COS(Q70)+0.009531*COS(2*S70-Q70)+0.007843*COS(2*S70)+0.002824*COS(2*Q70)+0.000857*COS(2*S70+Q70)+0.000533*COS(2*S70-R70)+0.000401*COS(2*S70-R70-Q70)+0.00032*COS(Q70-R70)-0.000271*COS(S70)</f>
        <v>0.966973147281088</v>
      </c>
      <c r="AK70" s="50" t="n">
        <f aca="false">ASIN(COS($A$4*$G$2)*COS($A$4*AG70)*COS($A$4*AI70)+SIN($A$4*$G$2)*SIN($A$4*AG70))/$A$4</f>
        <v>-68.0790823597319</v>
      </c>
      <c r="AL70" s="18" t="n">
        <f aca="false">ASIN((0.9983271+0.0016764*COS($A$4*2*$G$2))*COS($A$4*AK70)*SIN($A$4*AJ70))/$A$4</f>
        <v>0.360798429451563</v>
      </c>
      <c r="AM70" s="18" t="n">
        <f aca="false">AK70-AL70</f>
        <v>-68.4398807891834</v>
      </c>
      <c r="AN70" s="10" t="n">
        <f aca="false"> IF(280.4664567 + 360007.6982779*M70/10 + 0.03032028*M70^2/100 + M70^3/49931000&lt;0,MOD(280.4664567 + 360007.6982779*M70/10 + 0.03032028*M70^2/100 + M70^3/49931000+360,360),MOD(280.4664567 + 360007.6982779*M70/10 + 0.03032028*M70^2/100 + M70^3/49931000,360))</f>
        <v>198.095566404463</v>
      </c>
      <c r="AO70" s="27" t="n">
        <f aca="false"> AN70 + (1.9146 - 0.004817*M70 - 0.000014*M70^2)*SIN(R70)+ (0.019993 - 0.000101*M70)*SIN(2*R70)+ 0.00029*SIN(3*R70)</f>
        <v>196.185647526849</v>
      </c>
      <c r="AP70" s="18" t="n">
        <f aca="false">ACOS(COS(X70-$A$4*AO70)*COS(Y70))/$A$4</f>
        <v>174.54431008276</v>
      </c>
      <c r="AQ70" s="25" t="n">
        <f aca="false">180 - AP70 -0.1468*(1-0.0549*SIN(R70))*SIN($A$4*AP70)/(1-0.0167*SIN($A$4*AO70))</f>
        <v>5.44103737912789</v>
      </c>
      <c r="AR70" s="25" t="n">
        <f aca="false">SIN($A$4*AI70)</f>
        <v>-0.112252971657</v>
      </c>
      <c r="AS70" s="25" t="n">
        <f aca="false">COS($A$4*AI70)*SIN($A$4*$G$2) - TAN($A$4*AG70)*COS($A$4*$G$2)</f>
        <v>0.356286557031407</v>
      </c>
      <c r="AT70" s="25" t="n">
        <f aca="false">IF(OR(AND(AR70*AS70&gt;0), AND(AR70&lt;0,AS70&gt;0)), MOD(ATAN2(AS70,AR70)/$A$4+360,360),  ATAN2(AS70,AR70)/$A$4)</f>
        <v>342.512250880648</v>
      </c>
      <c r="AU70" s="29" t="n">
        <f aca="false">(1+SIN($A$4*H70)*SIN($A$4*AJ70))*120*ASIN(0.272481*SIN($A$4*AJ70))/$A$4</f>
        <v>31.1201987833351</v>
      </c>
      <c r="AV70" s="10" t="n">
        <f aca="false">COS(X70)</f>
        <v>0.979975599667129</v>
      </c>
      <c r="AW70" s="10" t="n">
        <f aca="false">SIN(X70)</f>
        <v>0.199117613628357</v>
      </c>
      <c r="AX70" s="30" t="n">
        <f aca="false"> 385000.56 + (-20905355*COS(Q70) - 3699111*COS(2*S70-Q70) - 2955968*COS(2*S70) - 569925*COS(2*Q70) + (1-0.002516*M70)*48888*COS(R70) - 3149*COS(2*T70)  +246158*COS(2*S70-2*Q70) -(1-0.002516*M70)*152138*COS(2*S70-R70-Q70) -170733*COS(2*S70+Q70) -(1-0.002516*M70)*204586*COS(2*S70-R70) -(1-0.002516*M70)*129620*COS(R70-Q70)  + 108743*COS(S70) +(1-0.002516*M70)*104755*COS(R70+Q70) +10321*COS(2*S70-2*T70) +79661*COS(Q70-2*T70) -34782*COS(4*S70-Q70) -23210*COS(3*Q70)  -21636*COS(4*S70-2*Q70) +(1-0.002516*M70)*24208*COS(2*S70+R70-Q70) +(1-0.002516*M70)*30824*COS(2*S70+R70) -8379*COS(S70-Q70) -(1-0.002516*M70)*16675*COS(S70+R70)  -(1-0.002516*M70)*12831*COS(2*S70-R70+Q70) -10445*COS(2*S70+2*Q70) -11650*COS(4*S70) +14403*COS(2*S70-3*Q70) -(1-0.002516*M70)*7003*COS(R70-2*Q70)  + (1-0.002516*M70)*10056*COS(2*S70-R70-2*Q70) +6322*COS(S70+Q70) -(1-0.002516*M70)*(1-0.002516*M70)*9884*COS(2*S70-2*R70) +(1-0.002516*M70)*5751*COS(R70+2*Q70) -(1-0.002516*M70)*(1-0.002516*M70)*4950*COS(2*S70-2*R70-Q70)  +4130*COS(2*S70+Q70-2*T70) -(1-0.002516*M70)*3958*COS(4*S70-R70-Q70) +3258*COS(3*S70-Q70) +(1-0.002516*M70)*2616*COS(2*S70+R70+Q70) -(1-0.002516*M70)*1897*COS(4*S70-R70-2*Q70)  -(1-0.002516*M70)*(1-0.002516*M70)*2117*COS(2*R70-Q70) +(1-0.002516*M70)*(1-0.002516*M70)*2354*COS(2*S70+2*R70-Q70) -1423*COS(4*S70+Q70) -1117*COS(4*Q70) -(1-0.002516*M70)*1571*COS(4*S70-R70)  -1739*COS(S70-2*Q70) -4421*COS(2*Q70-2*T70) +(1-0.002516*M70)*(1-0.002516*M70)*1165*COS(2*R70+Q70) +8752*COS(2*S70-Q70-2*T70))/1000</f>
        <v>378058.215204017</v>
      </c>
      <c r="AY70" s="10" t="n">
        <f aca="false">AY69+1/8</f>
        <v>9.5</v>
      </c>
      <c r="AZ70" s="17" t="n">
        <f aca="false">AZ69+1</f>
        <v>69</v>
      </c>
      <c r="BA70" s="32" t="n">
        <f aca="false">ATAN(0.99664719*TAN($A$4*input!$E$2))</f>
        <v>-0.400219206115995</v>
      </c>
      <c r="BB70" s="32" t="n">
        <f aca="false">COS(BA70)</f>
        <v>0.920975608992155</v>
      </c>
      <c r="BC70" s="32" t="n">
        <f aca="false">0.99664719*SIN(BA70)</f>
        <v>-0.388313912533463</v>
      </c>
      <c r="BD70" s="32" t="n">
        <f aca="false">6378.14/AX70</f>
        <v>0.0168707879990336</v>
      </c>
      <c r="BE70" s="33" t="n">
        <f aca="false">MOD(N70-15*AH70,360)</f>
        <v>186.44520587068</v>
      </c>
      <c r="BF70" s="27" t="n">
        <f aca="false">COS($A$4*AG70)*SIN($A$4*BE70)</f>
        <v>-0.112185309709464</v>
      </c>
      <c r="BG70" s="27" t="n">
        <f aca="false">COS($A$4*AG70)*COS($A$4*BE70)-BB70*BD70</f>
        <v>-1.00861829267262</v>
      </c>
      <c r="BH70" s="27" t="n">
        <f aca="false">SIN($A$4*AG70)-BC70*BD70</f>
        <v>0.0412666171494686</v>
      </c>
      <c r="BI70" s="46" t="n">
        <f aca="false">SQRT(BF70^2+BG70^2+BH70^2)</f>
        <v>1.01567678801841</v>
      </c>
      <c r="BJ70" s="35" t="n">
        <f aca="false">AX70*BI70</f>
        <v>383984.953702388</v>
      </c>
    </row>
    <row r="71" customFormat="false" ht="15" hidden="false" customHeight="false" outlineLevel="0" collapsed="false">
      <c r="A71" s="0"/>
      <c r="B71" s="20"/>
      <c r="C71" s="15" t="n">
        <f aca="false">MOD(C70+3,24)</f>
        <v>15</v>
      </c>
      <c r="D71" s="17" t="n">
        <v>9</v>
      </c>
      <c r="E71" s="102" t="n">
        <f aca="false">input!$C$2</f>
        <v>10</v>
      </c>
      <c r="F71" s="102" t="n">
        <f aca="false">input!$D$2</f>
        <v>2022</v>
      </c>
      <c r="H71" s="39" t="n">
        <f aca="false">AM71</f>
        <v>-38.30396149831</v>
      </c>
      <c r="I71" s="48" t="n">
        <f aca="false">H71+1.02/(TAN($A$4*(H71+10.3/(H71+5.11)))*60)</f>
        <v>-38.3252461643526</v>
      </c>
      <c r="J71" s="39" t="n">
        <f aca="false">100*(1+COS($A$4*AQ71))/2</f>
        <v>99.8736352328249</v>
      </c>
      <c r="K71" s="48" t="n">
        <f aca="false">IF(AI71&gt;180,AT71-180,AT71+180)</f>
        <v>105.061595455872</v>
      </c>
      <c r="L71" s="10" t="n">
        <f aca="false">L70+1/8</f>
        <v>2459862.125</v>
      </c>
      <c r="M71" s="49" t="n">
        <f aca="false">(L71-2451545)/36525</f>
        <v>0.227710472279261</v>
      </c>
      <c r="N71" s="15" t="n">
        <f aca="false">MOD(280.46061837+360.98564736629*(L71-2451545)+0.000387933*M71^2-M71^3/38710000+$G$4,360)</f>
        <v>243.21298983926</v>
      </c>
      <c r="O71" s="18" t="n">
        <f aca="false">0.60643382+1336.85522467*M71 - 0.00000313*M71^2 - INT(0.60643382+1336.85522467*M71 - 0.00000313*M71^2)</f>
        <v>0.0223682363060789</v>
      </c>
      <c r="P71" s="15" t="n">
        <f aca="false">22640*SIN(Q71)-4586*SIN(Q71-2*S71)+2370*SIN(2*S71)+769*SIN(2*Q71)-668*SIN(R71)-412*SIN(2*T71)-212*SIN(2*Q71-2*S71)-206*SIN(Q71+R71-2*S71)+192*SIN(Q71+2*S71)-165*SIN(R71-2*S71)-125*SIN(S71)-110*SIN(Q71+R71)+148*SIN(Q71-R71)-55*SIN(2*T71-2*S71)</f>
        <v>18496.0270305199</v>
      </c>
      <c r="Q71" s="18" t="n">
        <f aca="false">2*PI()*(0.374897+1325.55241*M71 - INT(0.374897+1325.55241*M71))</f>
        <v>1.36384272957795</v>
      </c>
      <c r="R71" s="26" t="n">
        <f aca="false">2*PI()*(0.99312619+99.99735956*M71 - 0.00000044*M71^2 - INT(0.99312619+99.99735956*M71- 0.00000044*M71^2))</f>
        <v>4.79766524644395</v>
      </c>
      <c r="S71" s="26" t="n">
        <f aca="false">2*PI()*(0.827361+1236.853086*M71 - INT(0.827361+1236.853086*M71))</f>
        <v>2.96416400242608</v>
      </c>
      <c r="T71" s="26" t="n">
        <f aca="false">2*PI()*(0.259086+1342.227825*M71 - INT(0.259086+1342.227825*M71))</f>
        <v>5.64492638218738</v>
      </c>
      <c r="U71" s="26" t="n">
        <f aca="false">T71+(P71+412*SIN(2*T71)+541*SIN(R71))/206264.8062</f>
        <v>5.73007277454583</v>
      </c>
      <c r="V71" s="26" t="n">
        <f aca="false">T71-2*S71</f>
        <v>-0.283401622664774</v>
      </c>
      <c r="W71" s="25" t="n">
        <f aca="false">-526*SIN(V71)+44*SIN(Q71+V71)-31*SIN(-Q71+V71)-23*SIN(R71+V71)+11*SIN(-R71+V71)-25*SIN(-2*Q71+T71)+21*SIN(-Q71+T71)</f>
        <v>224.978755337343</v>
      </c>
      <c r="X71" s="26" t="n">
        <f aca="false">2*PI()*(O71+P71/1296000-INT(O71+P71/1296000))</f>
        <v>0.230215043211554</v>
      </c>
      <c r="Y71" s="26" t="n">
        <f aca="false">(18520*SIN(U71)+W71)/206264.8062</f>
        <v>-0.0460780728556055</v>
      </c>
      <c r="Z71" s="26" t="n">
        <f aca="false">Y71*180/PI()</f>
        <v>-2.64007910272252</v>
      </c>
      <c r="AA71" s="26" t="n">
        <f aca="false">COS(Y71)*COS(X71)</f>
        <v>0.972583943613166</v>
      </c>
      <c r="AB71" s="26" t="n">
        <f aca="false">COS(Y71)*SIN(X71)</f>
        <v>0.227944699534803</v>
      </c>
      <c r="AC71" s="26" t="n">
        <f aca="false">SIN(Y71)</f>
        <v>-0.0460617691784703</v>
      </c>
      <c r="AD71" s="26" t="n">
        <f aca="false">COS($A$4*(23.4393-46.815*M71/3600))*AB71-SIN($A$4*(23.4393-46.815*M71/3600))*AC71</f>
        <v>0.227459986659812</v>
      </c>
      <c r="AE71" s="26" t="n">
        <f aca="false">SIN($A$4*(23.4393-46.815*M71/3600))*AB71+COS($A$4*(23.4393-46.815*M71/3600))*AC71</f>
        <v>0.0483986269906542</v>
      </c>
      <c r="AF71" s="26" t="n">
        <f aca="false">SQRT(1-AE71*AE71)</f>
        <v>0.998828099777644</v>
      </c>
      <c r="AG71" s="10" t="n">
        <f aca="false">ATAN(AE71/AF71)/$A$4</f>
        <v>2.77412080974376</v>
      </c>
      <c r="AH71" s="26" t="n">
        <f aca="false">IF(24*ATAN(AD71/(AA71+AF71))/PI()&gt;0,24*ATAN(AD71/(AA71+AF71))/PI(),24*ATAN(AD71/(AA71+AF71))/PI()+24)</f>
        <v>0.877551955197333</v>
      </c>
      <c r="AI71" s="10" t="n">
        <f aca="false">IF(N71-15*AH71&gt;0,N71-15*AH71,360+N71-15*AH71)</f>
        <v>230.0497105113</v>
      </c>
      <c r="AJ71" s="18" t="n">
        <f aca="false">0.950724+0.051818*COS(Q71)+0.009531*COS(2*S71-Q71)+0.007843*COS(2*S71)+0.002824*COS(2*Q71)+0.000857*COS(2*S71+Q71)+0.000533*COS(2*S71-R71)+0.000401*COS(2*S71-R71-Q71)+0.00032*COS(Q71-R71)-0.000271*COS(S71)</f>
        <v>0.96576990822852</v>
      </c>
      <c r="AK71" s="50" t="n">
        <f aca="false">ASIN(COS($A$4*$G$2)*COS($A$4*AG71)*COS($A$4*AI71)+SIN($A$4*$G$2)*SIN($A$4*AG71))/$A$4</f>
        <v>-37.538563389258</v>
      </c>
      <c r="AL71" s="18" t="n">
        <f aca="false">ASIN((0.9983271+0.0016764*COS($A$4*2*$G$2))*COS($A$4*AK71)*SIN($A$4*AJ71))/$A$4</f>
        <v>0.765398109052003</v>
      </c>
      <c r="AM71" s="18" t="n">
        <f aca="false">AK71-AL71</f>
        <v>-38.30396149831</v>
      </c>
      <c r="AN71" s="10" t="n">
        <f aca="false"> IF(280.4664567 + 360007.6982779*M71/10 + 0.03032028*M71^2/100 + M71^3/49931000&lt;0,MOD(280.4664567 + 360007.6982779*M71/10 + 0.03032028*M71^2/100 + M71^3/49931000+360,360),MOD(280.4664567 + 360007.6982779*M71/10 + 0.03032028*M71^2/100 + M71^3/49931000,360))</f>
        <v>198.218772324948</v>
      </c>
      <c r="AO71" s="27" t="n">
        <f aca="false"> AN71 + (1.9146 - 0.004817*M71 - 0.000014*M71^2)*SIN(R71)+ (0.019993 - 0.000101*M71)*SIN(2*R71)+ 0.00029*SIN(3*R71)</f>
        <v>196.309114366828</v>
      </c>
      <c r="AP71" s="18" t="n">
        <f aca="false">ACOS(COS(X71-$A$4*AO71)*COS(Y71))/$A$4</f>
        <v>175.914682335331</v>
      </c>
      <c r="AQ71" s="25" t="n">
        <f aca="false">180 - AP71 -0.1468*(1-0.0549*SIN(R71))*SIN($A$4*AP71)/(1-0.0167*SIN($A$4*AO71))</f>
        <v>4.07433877526708</v>
      </c>
      <c r="AR71" s="25" t="n">
        <f aca="false">SIN($A$4*AI71)</f>
        <v>-0.766601845033463</v>
      </c>
      <c r="AS71" s="25" t="n">
        <f aca="false">COS($A$4*AI71)*SIN($A$4*$G$2) - TAN($A$4*AG71)*COS($A$4*$G$2)</f>
        <v>0.206293900381308</v>
      </c>
      <c r="AT71" s="25" t="n">
        <f aca="false">IF(OR(AND(AR71*AS71&gt;0), AND(AR71&lt;0,AS71&gt;0)), MOD(ATAN2(AS71,AR71)/$A$4+360,360),  ATAN2(AS71,AR71)/$A$4)</f>
        <v>285.061595455872</v>
      </c>
      <c r="AU71" s="29" t="n">
        <f aca="false">(1+SIN($A$4*H71)*SIN($A$4*AJ71))*120*ASIN(0.272481*SIN($A$4*AJ71))/$A$4</f>
        <v>31.2471934068541</v>
      </c>
      <c r="AV71" s="10" t="n">
        <f aca="false">COS(X71)</f>
        <v>0.973617347474018</v>
      </c>
      <c r="AW71" s="10" t="n">
        <f aca="false">SIN(X71)</f>
        <v>0.22818689861089</v>
      </c>
      <c r="AX71" s="30" t="n">
        <f aca="false"> 385000.56 + (-20905355*COS(Q71) - 3699111*COS(2*S71-Q71) - 2955968*COS(2*S71) - 569925*COS(2*Q71) + (1-0.002516*M71)*48888*COS(R71) - 3149*COS(2*T71)  +246158*COS(2*S71-2*Q71) -(1-0.002516*M71)*152138*COS(2*S71-R71-Q71) -170733*COS(2*S71+Q71) -(1-0.002516*M71)*204586*COS(2*S71-R71) -(1-0.002516*M71)*129620*COS(R71-Q71)  + 108743*COS(S71) +(1-0.002516*M71)*104755*COS(R71+Q71) +10321*COS(2*S71-2*T71) +79661*COS(Q71-2*T71) -34782*COS(4*S71-Q71) -23210*COS(3*Q71)  -21636*COS(4*S71-2*Q71) +(1-0.002516*M71)*24208*COS(2*S71+R71-Q71) +(1-0.002516*M71)*30824*COS(2*S71+R71) -8379*COS(S71-Q71) -(1-0.002516*M71)*16675*COS(S71+R71)  -(1-0.002516*M71)*12831*COS(2*S71-R71+Q71) -10445*COS(2*S71+2*Q71) -11650*COS(4*S71) +14403*COS(2*S71-3*Q71) -(1-0.002516*M71)*7003*COS(R71-2*Q71)  + (1-0.002516*M71)*10056*COS(2*S71-R71-2*Q71) +6322*COS(S71+Q71) -(1-0.002516*M71)*(1-0.002516*M71)*9884*COS(2*S71-2*R71) +(1-0.002516*M71)*5751*COS(R71+2*Q71) -(1-0.002516*M71)*(1-0.002516*M71)*4950*COS(2*S71-2*R71-Q71)  +4130*COS(2*S71+Q71-2*T71) -(1-0.002516*M71)*3958*COS(4*S71-R71-Q71) +3258*COS(3*S71-Q71) +(1-0.002516*M71)*2616*COS(2*S71+R71+Q71) -(1-0.002516*M71)*1897*COS(4*S71-R71-2*Q71)  -(1-0.002516*M71)*(1-0.002516*M71)*2117*COS(2*R71-Q71) +(1-0.002516*M71)*(1-0.002516*M71)*2354*COS(2*S71+2*R71-Q71) -1423*COS(4*S71+Q71) -1117*COS(4*Q71) -(1-0.002516*M71)*1571*COS(4*S71-R71)  -1739*COS(S71-2*Q71) -4421*COS(2*Q71-2*T71) +(1-0.002516*M71)*(1-0.002516*M71)*1165*COS(2*R71+Q71) +8752*COS(2*S71-Q71-2*T71))/1000</f>
        <v>378525.7329105</v>
      </c>
      <c r="AY71" s="10" t="n">
        <f aca="false">AY70+1/8</f>
        <v>9.625</v>
      </c>
      <c r="AZ71" s="17" t="n">
        <f aca="false">AZ70+1</f>
        <v>70</v>
      </c>
      <c r="BA71" s="32" t="n">
        <f aca="false">ATAN(0.99664719*TAN($A$4*input!$E$2))</f>
        <v>-0.400219206115995</v>
      </c>
      <c r="BB71" s="32" t="n">
        <f aca="false">COS(BA71)</f>
        <v>0.920975608992155</v>
      </c>
      <c r="BC71" s="32" t="n">
        <f aca="false">0.99664719*SIN(BA71)</f>
        <v>-0.388313912533463</v>
      </c>
      <c r="BD71" s="32" t="n">
        <f aca="false">6378.14/AX71</f>
        <v>0.0168499508632035</v>
      </c>
      <c r="BE71" s="33" t="n">
        <f aca="false">MOD(N71-15*AH71,360)</f>
        <v>230.0497105113</v>
      </c>
      <c r="BF71" s="27" t="n">
        <f aca="false">COS($A$4*AG71)*SIN($A$4*BE71)</f>
        <v>-0.76570346416081</v>
      </c>
      <c r="BG71" s="27" t="n">
        <f aca="false">COS($A$4*AG71)*COS($A$4*BE71)-BB71*BD71</f>
        <v>-0.656888628394129</v>
      </c>
      <c r="BH71" s="27" t="n">
        <f aca="false">SIN($A$4*AG71)-BC71*BD71</f>
        <v>0.0549416973363414</v>
      </c>
      <c r="BI71" s="46" t="n">
        <f aca="false">SQRT(BF71^2+BG71^2+BH71^2)</f>
        <v>1.01035788473569</v>
      </c>
      <c r="BJ71" s="35" t="n">
        <f aca="false">AX71*BI71</f>
        <v>382446.458821481</v>
      </c>
    </row>
    <row r="72" customFormat="false" ht="15" hidden="false" customHeight="false" outlineLevel="0" collapsed="false">
      <c r="A72" s="0"/>
      <c r="B72" s="20"/>
      <c r="C72" s="15" t="n">
        <f aca="false">MOD(C71+3,24)</f>
        <v>18</v>
      </c>
      <c r="D72" s="17" t="n">
        <v>9</v>
      </c>
      <c r="E72" s="102" t="n">
        <f aca="false">input!$C$2</f>
        <v>10</v>
      </c>
      <c r="F72" s="102" t="n">
        <f aca="false">input!$D$2</f>
        <v>2022</v>
      </c>
      <c r="H72" s="39" t="n">
        <f aca="false">AM72</f>
        <v>1.00541615237095</v>
      </c>
      <c r="I72" s="48" t="n">
        <f aca="false">H72+1.02/(TAN($A$4*(H72+10.3/(H72+5.11)))*60)</f>
        <v>1.36728489937767</v>
      </c>
      <c r="J72" s="39" t="n">
        <f aca="false">100*(1+COS($A$4*AQ72))/2</f>
        <v>99.9344799583404</v>
      </c>
      <c r="K72" s="48" t="n">
        <f aca="false">IF(AI72&gt;180,AT72-180,AT72+180)</f>
        <v>85.2969140577806</v>
      </c>
      <c r="L72" s="10" t="n">
        <f aca="false">L71+1/8</f>
        <v>2459862.25</v>
      </c>
      <c r="M72" s="49" t="n">
        <f aca="false">(L72-2451545)/36525</f>
        <v>0.227713894592745</v>
      </c>
      <c r="N72" s="15" t="n">
        <f aca="false">MOD(280.46061837+360.98564736629*(L72-2451545)+0.000387933*M72^2-M72^3/38710000+$G$4,360)</f>
        <v>288.336195760872</v>
      </c>
      <c r="O72" s="18" t="n">
        <f aca="false">0.60643382+1336.85522467*M72 - 0.00000313*M72^2 - INT(0.60643382+1336.85522467*M72 - 0.00000313*M72^2)</f>
        <v>0.0269433739625811</v>
      </c>
      <c r="P72" s="15" t="n">
        <f aca="false">22640*SIN(Q72)-4586*SIN(Q72-2*S72)+2370*SIN(2*S72)+769*SIN(2*Q72)-668*SIN(R72)-412*SIN(2*T72)-212*SIN(2*Q72-2*S72)-206*SIN(Q72+R72-2*S72)+192*SIN(Q72+2*S72)-165*SIN(R72-2*S72)-125*SIN(S72)-110*SIN(Q72+R72)+148*SIN(Q72-R72)-55*SIN(2*T72-2*S72)</f>
        <v>18687.895631457</v>
      </c>
      <c r="Q72" s="18" t="n">
        <f aca="false">2*PI()*(0.374897+1325.55241*M72 - INT(0.374897+1325.55241*M72))</f>
        <v>1.39234612255011</v>
      </c>
      <c r="R72" s="26" t="n">
        <f aca="false">2*PI()*(0.99312619+99.99735956*M72 - 0.00000044*M72^2 - INT(0.99312619+99.99735956*M72- 0.00000044*M72^2))</f>
        <v>4.79981549264203</v>
      </c>
      <c r="S72" s="26" t="n">
        <f aca="false">2*PI()*(0.827361+1236.853086*M72 - INT(0.827361+1236.853086*M72))</f>
        <v>2.990760091191</v>
      </c>
      <c r="T72" s="26" t="n">
        <f aca="false">2*PI()*(0.259086+1342.227825*M72 - INT(0.259086+1342.227825*M72))</f>
        <v>5.67378834710514</v>
      </c>
      <c r="U72" s="26" t="n">
        <f aca="false">T72+(P72+412*SIN(2*T72)+541*SIN(R72))/206264.8062</f>
        <v>5.75990203894758</v>
      </c>
      <c r="V72" s="26" t="n">
        <f aca="false">T72-2*S72</f>
        <v>-0.30773183527686</v>
      </c>
      <c r="W72" s="25" t="n">
        <f aca="false">-526*SIN(V72)+44*SIN(Q72+V72)-31*SIN(-Q72+V72)-23*SIN(R72+V72)+11*SIN(-R72+V72)-25*SIN(-2*Q72+T72)+21*SIN(-Q72+T72)</f>
        <v>236.237828296945</v>
      </c>
      <c r="X72" s="26" t="n">
        <f aca="false">2*PI()*(O72+P72/1296000-INT(O72+P72/1296000))</f>
        <v>0.259891686140309</v>
      </c>
      <c r="Y72" s="26" t="n">
        <f aca="false">(18520*SIN(U72)+W72)/206264.8062</f>
        <v>-0.0437238980342921</v>
      </c>
      <c r="Z72" s="26" t="n">
        <f aca="false">Y72*180/PI()</f>
        <v>-2.50519482122529</v>
      </c>
      <c r="AA72" s="26" t="n">
        <f aca="false">COS(Y72)*COS(X72)</f>
        <v>0.965494176246466</v>
      </c>
      <c r="AB72" s="26" t="n">
        <f aca="false">COS(Y72)*SIN(X72)</f>
        <v>0.256730275511706</v>
      </c>
      <c r="AC72" s="26" t="n">
        <f aca="false">SIN(Y72)</f>
        <v>-0.043709967625719</v>
      </c>
      <c r="AD72" s="26" t="n">
        <f aca="false">COS($A$4*(23.4393-46.815*M72/3600))*AB72-SIN($A$4*(23.4393-46.815*M72/3600))*AC72</f>
        <v>0.252935444528622</v>
      </c>
      <c r="AE72" s="26" t="n">
        <f aca="false">SIN($A$4*(23.4393-46.815*M72/3600))*AB72+COS($A$4*(23.4393-46.815*M72/3600))*AC72</f>
        <v>0.0620052944131884</v>
      </c>
      <c r="AF72" s="26" t="n">
        <f aca="false">SQRT(1-AE72*AE72)</f>
        <v>0.998075820498991</v>
      </c>
      <c r="AG72" s="10" t="n">
        <f aca="false">ATAN(AE72/AF72)/$A$4</f>
        <v>3.55492207269099</v>
      </c>
      <c r="AH72" s="26" t="n">
        <f aca="false">IF(24*ATAN(AD72/(AA72+AF72))/PI()&gt;0,24*ATAN(AD72/(AA72+AF72))/PI(),24*ATAN(AD72/(AA72+AF72))/PI()+24)</f>
        <v>0.978677671564496</v>
      </c>
      <c r="AI72" s="10" t="n">
        <f aca="false">IF(N72-15*AH72&gt;0,N72-15*AH72,360+N72-15*AH72)</f>
        <v>273.656030687405</v>
      </c>
      <c r="AJ72" s="18" t="n">
        <f aca="false">0.950724+0.051818*COS(Q72)+0.009531*COS(2*S72-Q72)+0.007843*COS(2*S72)+0.002824*COS(2*Q72)+0.000857*COS(2*S72+Q72)+0.000533*COS(2*S72-R72)+0.000401*COS(2*S72-R72-Q72)+0.00032*COS(Q72-R72)-0.000271*COS(S72)</f>
        <v>0.964542660990344</v>
      </c>
      <c r="AK72" s="50" t="n">
        <f aca="false">ASIN(COS($A$4*$G$2)*COS($A$4*AG72)*COS($A$4*AI72)+SIN($A$4*$G$2)*SIN($A$4*AG72))/$A$4</f>
        <v>1.96889921062286</v>
      </c>
      <c r="AL72" s="18" t="n">
        <f aca="false">ASIN((0.9983271+0.0016764*COS($A$4*2*$G$2))*COS($A$4*AK72)*SIN($A$4*AJ72))/$A$4</f>
        <v>0.963483058251904</v>
      </c>
      <c r="AM72" s="18" t="n">
        <f aca="false">AK72-AL72</f>
        <v>1.00541615237095</v>
      </c>
      <c r="AN72" s="10" t="n">
        <f aca="false"> IF(280.4664567 + 360007.6982779*M72/10 + 0.03032028*M72^2/100 + M72^3/49931000&lt;0,MOD(280.4664567 + 360007.6982779*M72/10 + 0.03032028*M72^2/100 + M72^3/49931000+360,360),MOD(280.4664567 + 360007.6982779*M72/10 + 0.03032028*M72^2/100 + M72^3/49931000,360))</f>
        <v>198.341978245433</v>
      </c>
      <c r="AO72" s="27" t="n">
        <f aca="false"> AN72 + (1.9146 - 0.004817*M72 - 0.000014*M72^2)*SIN(R72)+ (0.019993 - 0.000101*M72)*SIN(2*R72)+ 0.00029*SIN(3*R72)</f>
        <v>196.432590072853</v>
      </c>
      <c r="AP72" s="18" t="n">
        <f aca="false">ACOS(COS(X72-$A$4*AO72)*COS(Y72))/$A$4</f>
        <v>177.058585236216</v>
      </c>
      <c r="AQ72" s="25" t="n">
        <f aca="false">180 - AP72 -0.1468*(1-0.0549*SIN(R72))*SIN($A$4*AP72)/(1-0.0167*SIN($A$4*AO72))</f>
        <v>2.93350712176088</v>
      </c>
      <c r="AR72" s="25" t="n">
        <f aca="false">SIN($A$4*AI72)</f>
        <v>-0.997964847114465</v>
      </c>
      <c r="AS72" s="25" t="n">
        <f aca="false">COS($A$4*AI72)*SIN($A$4*$G$2) - TAN($A$4*AG72)*COS($A$4*$G$2)</f>
        <v>-0.0821017595257749</v>
      </c>
      <c r="AT72" s="25" t="n">
        <f aca="false">IF(OR(AND(AR72*AS72&gt;0), AND(AR72&lt;0,AS72&gt;0)), MOD(ATAN2(AS72,AR72)/$A$4+360,360),  ATAN2(AS72,AR72)/$A$4)</f>
        <v>265.296914057781</v>
      </c>
      <c r="AU72" s="29" t="n">
        <f aca="false">(1+SIN($A$4*H72)*SIN($A$4*AJ72))*120*ASIN(0.272481*SIN($A$4*AJ72))/$A$4</f>
        <v>31.5462821601967</v>
      </c>
      <c r="AV72" s="10" t="n">
        <f aca="false">COS(X72)</f>
        <v>0.966417817852494</v>
      </c>
      <c r="AW72" s="10" t="n">
        <f aca="false">SIN(X72)</f>
        <v>0.256975876955841</v>
      </c>
      <c r="AX72" s="30" t="n">
        <f aca="false"> 385000.56 + (-20905355*COS(Q72) - 3699111*COS(2*S72-Q72) - 2955968*COS(2*S72) - 569925*COS(2*Q72) + (1-0.002516*M72)*48888*COS(R72) - 3149*COS(2*T72)  +246158*COS(2*S72-2*Q72) -(1-0.002516*M72)*152138*COS(2*S72-R72-Q72) -170733*COS(2*S72+Q72) -(1-0.002516*M72)*204586*COS(2*S72-R72) -(1-0.002516*M72)*129620*COS(R72-Q72)  + 108743*COS(S72) +(1-0.002516*M72)*104755*COS(R72+Q72) +10321*COS(2*S72-2*T72) +79661*COS(Q72-2*T72) -34782*COS(4*S72-Q72) -23210*COS(3*Q72)  -21636*COS(4*S72-2*Q72) +(1-0.002516*M72)*24208*COS(2*S72+R72-Q72) +(1-0.002516*M72)*30824*COS(2*S72+R72) -8379*COS(S72-Q72) -(1-0.002516*M72)*16675*COS(S72+R72)  -(1-0.002516*M72)*12831*COS(2*S72-R72+Q72) -10445*COS(2*S72+2*Q72) -11650*COS(4*S72) +14403*COS(2*S72-3*Q72) -(1-0.002516*M72)*7003*COS(R72-2*Q72)  + (1-0.002516*M72)*10056*COS(2*S72-R72-2*Q72) +6322*COS(S72+Q72) -(1-0.002516*M72)*(1-0.002516*M72)*9884*COS(2*S72-2*R72) +(1-0.002516*M72)*5751*COS(R72+2*Q72) -(1-0.002516*M72)*(1-0.002516*M72)*4950*COS(2*S72-2*R72-Q72)  +4130*COS(2*S72+Q72-2*T72) -(1-0.002516*M72)*3958*COS(4*S72-R72-Q72) +3258*COS(3*S72-Q72) +(1-0.002516*M72)*2616*COS(2*S72+R72+Q72) -(1-0.002516*M72)*1897*COS(4*S72-R72-2*Q72)  -(1-0.002516*M72)*(1-0.002516*M72)*2117*COS(2*R72-Q72) +(1-0.002516*M72)*(1-0.002516*M72)*2354*COS(2*S72+2*R72-Q72) -1423*COS(4*S72+Q72) -1117*COS(4*Q72) -(1-0.002516*M72)*1571*COS(4*S72-R72)  -1739*COS(S72-2*Q72) -4421*COS(2*Q72-2*T72) +(1-0.002516*M72)*(1-0.002516*M72)*1165*COS(2*R72+Q72) +8752*COS(2*S72-Q72-2*T72))/1000</f>
        <v>379003.167167558</v>
      </c>
      <c r="AY72" s="10" t="n">
        <f aca="false">AY71+1/8</f>
        <v>9.75</v>
      </c>
      <c r="AZ72" s="17" t="n">
        <f aca="false">AZ71+1</f>
        <v>71</v>
      </c>
      <c r="BA72" s="32" t="n">
        <f aca="false">ATAN(0.99664719*TAN($A$4*input!$E$2))</f>
        <v>-0.400219206115995</v>
      </c>
      <c r="BB72" s="32" t="n">
        <f aca="false">COS(BA72)</f>
        <v>0.920975608992155</v>
      </c>
      <c r="BC72" s="32" t="n">
        <f aca="false">0.99664719*SIN(BA72)</f>
        <v>-0.388313912533463</v>
      </c>
      <c r="BD72" s="32" t="n">
        <f aca="false">6378.14/AX72</f>
        <v>0.016828724803717</v>
      </c>
      <c r="BE72" s="33" t="n">
        <f aca="false">MOD(N72-15*AH72,360)</f>
        <v>273.656030687405</v>
      </c>
      <c r="BF72" s="27" t="n">
        <f aca="false">COS($A$4*AG72)*SIN($A$4*BE72)</f>
        <v>-0.99604458361292</v>
      </c>
      <c r="BG72" s="27" t="n">
        <f aca="false">COS($A$4*AG72)*COS($A$4*BE72)-BB72*BD72</f>
        <v>0.048144936397673</v>
      </c>
      <c r="BH72" s="27" t="n">
        <f aca="false">SIN($A$4*AG72)-BC72*BD72</f>
        <v>0.0685401223846687</v>
      </c>
      <c r="BI72" s="46" t="n">
        <f aca="false">SQRT(BF72^2+BG72^2+BH72^2)</f>
        <v>0.999560151177445</v>
      </c>
      <c r="BJ72" s="35" t="n">
        <f aca="false">AX72*BI72</f>
        <v>378836.463070735</v>
      </c>
    </row>
    <row r="73" customFormat="false" ht="15" hidden="false" customHeight="false" outlineLevel="0" collapsed="false">
      <c r="A73" s="0"/>
      <c r="B73" s="20"/>
      <c r="C73" s="15" t="n">
        <f aca="false">MOD(C72+3,24)</f>
        <v>21</v>
      </c>
      <c r="D73" s="17" t="n">
        <v>9</v>
      </c>
      <c r="E73" s="102" t="n">
        <f aca="false">input!$C$2</f>
        <v>10</v>
      </c>
      <c r="F73" s="102" t="n">
        <f aca="false">input!$D$2</f>
        <v>2022</v>
      </c>
      <c r="H73" s="39" t="n">
        <f aca="false">AM73</f>
        <v>39.4039388074828</v>
      </c>
      <c r="I73" s="48" t="n">
        <f aca="false">H73+1.02/(TAN($A$4*(H73+10.3/(H73+5.11)))*60)</f>
        <v>39.4244624992287</v>
      </c>
      <c r="J73" s="39" t="n">
        <f aca="false">100*(1+COS($A$4*AQ73))/2</f>
        <v>99.9575102695563</v>
      </c>
      <c r="K73" s="48" t="n">
        <f aca="false">IF(AI73&gt;180,AT73-180,AT73+180)</f>
        <v>62.2723106602323</v>
      </c>
      <c r="L73" s="10" t="n">
        <f aca="false">L72+1/8</f>
        <v>2459862.375</v>
      </c>
      <c r="M73" s="49" t="n">
        <f aca="false">(L73-2451545)/36525</f>
        <v>0.227717316906229</v>
      </c>
      <c r="N73" s="15" t="n">
        <f aca="false">MOD(280.46061837+360.98564736629*(L73-2451545)+0.000387933*M73^2-M73^3/38710000+$G$4,360)</f>
        <v>333.459401682019</v>
      </c>
      <c r="O73" s="18" t="n">
        <f aca="false">0.60643382+1336.85522467*M73 - 0.00000313*M73^2 - INT(0.60643382+1336.85522467*M73 - 0.00000313*M73^2)</f>
        <v>0.0315185116191401</v>
      </c>
      <c r="P73" s="15" t="n">
        <f aca="false">22640*SIN(Q73)-4586*SIN(Q73-2*S73)+2370*SIN(2*S73)+769*SIN(2*Q73)-668*SIN(R73)-412*SIN(2*T73)-212*SIN(2*Q73-2*S73)-206*SIN(Q73+R73-2*S73)+192*SIN(Q73+2*S73)-165*SIN(R73-2*S73)-125*SIN(S73)-110*SIN(Q73+R73)+148*SIN(Q73-R73)-55*SIN(2*T73-2*S73)</f>
        <v>18862.7299285388</v>
      </c>
      <c r="Q73" s="18" t="n">
        <f aca="false">2*PI()*(0.374897+1325.55241*M73 - INT(0.374897+1325.55241*M73))</f>
        <v>1.42084951552226</v>
      </c>
      <c r="R73" s="26" t="n">
        <f aca="false">2*PI()*(0.99312619+99.99735956*M73 - 0.00000044*M73^2 - INT(0.99312619+99.99735956*M73- 0.00000044*M73^2))</f>
        <v>4.80196573884016</v>
      </c>
      <c r="S73" s="26" t="n">
        <f aca="false">2*PI()*(0.827361+1236.853086*M73 - INT(0.827361+1236.853086*M73))</f>
        <v>3.01735617995592</v>
      </c>
      <c r="T73" s="26" t="n">
        <f aca="false">2*PI()*(0.259086+1342.227825*M73 - INT(0.259086+1342.227825*M73))</f>
        <v>5.7026503120229</v>
      </c>
      <c r="U73" s="26" t="n">
        <f aca="false">T73+(P73+412*SIN(2*T73)+541*SIN(R73))/206264.8062</f>
        <v>5.78965497651818</v>
      </c>
      <c r="V73" s="26" t="n">
        <f aca="false">T73-2*S73</f>
        <v>-0.332062047888946</v>
      </c>
      <c r="W73" s="25" t="n">
        <f aca="false">-526*SIN(V73)+44*SIN(Q73+V73)-31*SIN(-Q73+V73)-23*SIN(R73+V73)+11*SIN(-R73+V73)-25*SIN(-2*Q73+T73)+21*SIN(-Q73+T73)</f>
        <v>247.302913932518</v>
      </c>
      <c r="X73" s="26" t="n">
        <f aca="false">2*PI()*(O73+P73/1296000-INT(O73+P73/1296000))</f>
        <v>0.289485744433849</v>
      </c>
      <c r="Y73" s="26" t="n">
        <f aca="false">(18520*SIN(U73)+W73)/206264.8062</f>
        <v>-0.0413367781973305</v>
      </c>
      <c r="Z73" s="26" t="n">
        <f aca="false">Y73*180/PI()</f>
        <v>-2.36842292937543</v>
      </c>
      <c r="AA73" s="26" t="n">
        <f aca="false">COS(Y73)*COS(X73)</f>
        <v>0.957572102720616</v>
      </c>
      <c r="AB73" s="26" t="n">
        <f aca="false">COS(Y73)*SIN(X73)</f>
        <v>0.285215553379607</v>
      </c>
      <c r="AC73" s="26" t="n">
        <f aca="false">SIN(Y73)</f>
        <v>-0.0413250069761917</v>
      </c>
      <c r="AD73" s="26" t="n">
        <f aca="false">COS($A$4*(23.4393-46.815*M73/3600))*AB73-SIN($A$4*(23.4393-46.815*M73/3600))*AC73</f>
        <v>0.278122189771909</v>
      </c>
      <c r="AE73" s="26" t="n">
        <f aca="false">SIN($A$4*(23.4393-46.815*M73/3600))*AB73+COS($A$4*(23.4393-46.815*M73/3600))*AC73</f>
        <v>0.075522947821812</v>
      </c>
      <c r="AF73" s="26" t="n">
        <f aca="false">SQRT(1-AE73*AE73)</f>
        <v>0.997144063990908</v>
      </c>
      <c r="AG73" s="10" t="n">
        <f aca="false">ATAN(AE73/AF73)/$A$4</f>
        <v>4.33127022903592</v>
      </c>
      <c r="AH73" s="26" t="n">
        <f aca="false">IF(24*ATAN(AD73/(AA73+AF73))/PI()&gt;0,24*ATAN(AD73/(AA73+AF73))/PI(),24*ATAN(AD73/(AA73+AF73))/PI()+24)</f>
        <v>1.07971225100539</v>
      </c>
      <c r="AI73" s="10" t="n">
        <f aca="false">IF(N73-15*AH73&gt;0,N73-15*AH73,360+N73-15*AH73)</f>
        <v>317.263717916938</v>
      </c>
      <c r="AJ73" s="18" t="n">
        <f aca="false">0.950724+0.051818*COS(Q73)+0.009531*COS(2*S73-Q73)+0.007843*COS(2*S73)+0.002824*COS(2*Q73)+0.000857*COS(2*S73+Q73)+0.000533*COS(2*S73-R73)+0.000401*COS(2*S73-R73-Q73)+0.00032*COS(Q73-R73)-0.000271*COS(S73)</f>
        <v>0.963292726853571</v>
      </c>
      <c r="AK73" s="50" t="n">
        <f aca="false">ASIN(COS($A$4*$G$2)*COS($A$4*AG73)*COS($A$4*AI73)+SIN($A$4*$G$2)*SIN($A$4*AG73))/$A$4</f>
        <v>40.1399602996287</v>
      </c>
      <c r="AL73" s="18" t="n">
        <f aca="false">ASIN((0.9983271+0.0016764*COS($A$4*2*$G$2))*COS($A$4*AK73)*SIN($A$4*AJ73))/$A$4</f>
        <v>0.736021492145976</v>
      </c>
      <c r="AM73" s="18" t="n">
        <f aca="false">AK73-AL73</f>
        <v>39.4039388074828</v>
      </c>
      <c r="AN73" s="10" t="n">
        <f aca="false"> IF(280.4664567 + 360007.6982779*M73/10 + 0.03032028*M73^2/100 + M73^3/49931000&lt;0,MOD(280.4664567 + 360007.6982779*M73/10 + 0.03032028*M73^2/100 + M73^3/49931000+360,360),MOD(280.4664567 + 360007.6982779*M73/10 + 0.03032028*M73^2/100 + M73^3/49931000,360))</f>
        <v>198.46518416592</v>
      </c>
      <c r="AO73" s="27" t="n">
        <f aca="false"> AN73 + (1.9146 - 0.004817*M73 - 0.000014*M73^2)*SIN(R73)+ (0.019993 - 0.000101*M73)*SIN(2*R73)+ 0.00029*SIN(3*R73)</f>
        <v>196.556074644868</v>
      </c>
      <c r="AP73" s="18" t="n">
        <f aca="false">ACOS(COS(X73-$A$4*AO73)*COS(Y73))/$A$4</f>
        <v>177.631384178035</v>
      </c>
      <c r="AQ73" s="25" t="n">
        <f aca="false">180 - AP73 -0.1468*(1-0.0549*SIN(R73))*SIN($A$4*AP73)/(1-0.0167*SIN($A$4*AO73))</f>
        <v>2.36224737966235</v>
      </c>
      <c r="AR73" s="25" t="n">
        <f aca="false">SIN($A$4*AI73)</f>
        <v>-0.678624912515215</v>
      </c>
      <c r="AS73" s="25" t="n">
        <f aca="false">COS($A$4*AI73)*SIN($A$4*$G$2) - TAN($A$4*AG73)*COS($A$4*$G$2)</f>
        <v>-0.356704507503317</v>
      </c>
      <c r="AT73" s="25" t="n">
        <f aca="false">IF(OR(AND(AR73*AS73&gt;0), AND(AR73&lt;0,AS73&gt;0)), MOD(ATAN2(AS73,AR73)/$A$4+360,360),  ATAN2(AS73,AR73)/$A$4)</f>
        <v>242.272310660232</v>
      </c>
      <c r="AU73" s="29" t="n">
        <f aca="false">(1+SIN($A$4*H73)*SIN($A$4*AJ73))*120*ASIN(0.272481*SIN($A$4*AJ73))/$A$4</f>
        <v>31.8322247730816</v>
      </c>
      <c r="AV73" s="10" t="n">
        <f aca="false">COS(X73)</f>
        <v>0.958390801321625</v>
      </c>
      <c r="AW73" s="10" t="n">
        <f aca="false">SIN(X73)</f>
        <v>0.285459405068555</v>
      </c>
      <c r="AX73" s="30" t="n">
        <f aca="false"> 385000.56 + (-20905355*COS(Q73) - 3699111*COS(2*S73-Q73) - 2955968*COS(2*S73) - 569925*COS(2*Q73) + (1-0.002516*M73)*48888*COS(R73) - 3149*COS(2*T73)  +246158*COS(2*S73-2*Q73) -(1-0.002516*M73)*152138*COS(2*S73-R73-Q73) -170733*COS(2*S73+Q73) -(1-0.002516*M73)*204586*COS(2*S73-R73) -(1-0.002516*M73)*129620*COS(R73-Q73)  + 108743*COS(S73) +(1-0.002516*M73)*104755*COS(R73+Q73) +10321*COS(2*S73-2*T73) +79661*COS(Q73-2*T73) -34782*COS(4*S73-Q73) -23210*COS(3*Q73)  -21636*COS(4*S73-2*Q73) +(1-0.002516*M73)*24208*COS(2*S73+R73-Q73) +(1-0.002516*M73)*30824*COS(2*S73+R73) -8379*COS(S73-Q73) -(1-0.002516*M73)*16675*COS(S73+R73)  -(1-0.002516*M73)*12831*COS(2*S73-R73+Q73) -10445*COS(2*S73+2*Q73) -11650*COS(4*S73) +14403*COS(2*S73-3*Q73) -(1-0.002516*M73)*7003*COS(R73-2*Q73)  + (1-0.002516*M73)*10056*COS(2*S73-R73-2*Q73) +6322*COS(S73+Q73) -(1-0.002516*M73)*(1-0.002516*M73)*9884*COS(2*S73-2*R73) +(1-0.002516*M73)*5751*COS(R73+2*Q73) -(1-0.002516*M73)*(1-0.002516*M73)*4950*COS(2*S73-2*R73-Q73)  +4130*COS(2*S73+Q73-2*T73) -(1-0.002516*M73)*3958*COS(4*S73-R73-Q73) +3258*COS(3*S73-Q73) +(1-0.002516*M73)*2616*COS(2*S73+R73+Q73) -(1-0.002516*M73)*1897*COS(4*S73-R73-2*Q73)  -(1-0.002516*M73)*(1-0.002516*M73)*2117*COS(2*R73-Q73) +(1-0.002516*M73)*(1-0.002516*M73)*2354*COS(2*S73+2*R73-Q73) -1423*COS(4*S73+Q73) -1117*COS(4*Q73) -(1-0.002516*M73)*1571*COS(4*S73-R73)  -1739*COS(S73-2*Q73) -4421*COS(2*Q73-2*T73) +(1-0.002516*M73)*(1-0.002516*M73)*1165*COS(2*R73+Q73) +8752*COS(2*S73-Q73-2*T73))/1000</f>
        <v>379490.110677586</v>
      </c>
      <c r="AY73" s="10" t="n">
        <f aca="false">AY72+1/8</f>
        <v>9.875</v>
      </c>
      <c r="AZ73" s="17" t="n">
        <f aca="false">AZ72+1</f>
        <v>72</v>
      </c>
      <c r="BA73" s="32" t="n">
        <f aca="false">ATAN(0.99664719*TAN($A$4*input!$E$2))</f>
        <v>-0.400219206115995</v>
      </c>
      <c r="BB73" s="32" t="n">
        <f aca="false">COS(BA73)</f>
        <v>0.920975608992155</v>
      </c>
      <c r="BC73" s="32" t="n">
        <f aca="false">0.99664719*SIN(BA73)</f>
        <v>-0.388313912533463</v>
      </c>
      <c r="BD73" s="32" t="n">
        <f aca="false">6378.14/AX73</f>
        <v>0.0168071309911389</v>
      </c>
      <c r="BE73" s="33" t="n">
        <f aca="false">MOD(N73-15*AH73,360)</f>
        <v>317.263717916938</v>
      </c>
      <c r="BF73" s="27" t="n">
        <f aca="false">COS($A$4*AG73)*SIN($A$4*BE73)</f>
        <v>-0.676686803190896</v>
      </c>
      <c r="BG73" s="27" t="n">
        <f aca="false">COS($A$4*AG73)*COS($A$4*BE73)-BB73*BD73</f>
        <v>0.716908408889311</v>
      </c>
      <c r="BH73" s="27" t="n">
        <f aca="false">SIN($A$4*AG73)-BC73*BD73</f>
        <v>0.0820493906154436</v>
      </c>
      <c r="BI73" s="46" t="n">
        <f aca="false">SQRT(BF73^2+BG73^2+BH73^2)</f>
        <v>0.989239505301564</v>
      </c>
      <c r="BJ73" s="35" t="n">
        <f aca="false">AX73*BI73</f>
        <v>375406.609353531</v>
      </c>
    </row>
    <row r="74" customFormat="false" ht="15" hidden="false" customHeight="false" outlineLevel="0" collapsed="false">
      <c r="A74" s="0"/>
      <c r="B74" s="20"/>
      <c r="C74" s="15" t="n">
        <f aca="false">MOD(C73+3,24)</f>
        <v>0</v>
      </c>
      <c r="D74" s="36" t="n">
        <v>10</v>
      </c>
      <c r="E74" s="102" t="n">
        <f aca="false">input!$C$2</f>
        <v>10</v>
      </c>
      <c r="F74" s="102" t="n">
        <f aca="false">input!$D$2</f>
        <v>2022</v>
      </c>
      <c r="G74" s="0"/>
      <c r="H74" s="39" t="n">
        <f aca="false">AM74</f>
        <v>61.4313789352962</v>
      </c>
      <c r="I74" s="48" t="n">
        <f aca="false">H74+1.02/(TAN($A$4*(H74+10.3/(H74+5.11)))*60)</f>
        <v>61.4405761048648</v>
      </c>
      <c r="J74" s="39" t="n">
        <f aca="false">100*(1+COS($A$4*AQ74))/2</f>
        <v>99.9430249676802</v>
      </c>
      <c r="K74" s="48" t="n">
        <f aca="false">IF(AI74&gt;180,AT74-180,AT74+180)</f>
        <v>358.155990278475</v>
      </c>
      <c r="L74" s="10" t="n">
        <f aca="false">L73+1/8</f>
        <v>2459862.5</v>
      </c>
      <c r="M74" s="49" t="n">
        <f aca="false">(L74-2451545)/36525</f>
        <v>0.227720739219713</v>
      </c>
      <c r="N74" s="15" t="n">
        <f aca="false">MOD(280.46061837+360.98564736629*(L74-2451545)+0.000387933*M74^2-M74^3/38710000+$G$4,360)</f>
        <v>18.5826076036319</v>
      </c>
      <c r="O74" s="18" t="n">
        <f aca="false">0.60643382+1336.85522467*M74 - 0.00000313*M74^2 - INT(0.60643382+1336.85522467*M74 - 0.00000313*M74^2)</f>
        <v>0.0360936492756991</v>
      </c>
      <c r="P74" s="15" t="n">
        <f aca="false">22640*SIN(Q74)-4586*SIN(Q74-2*S74)+2370*SIN(2*S74)+769*SIN(2*Q74)-668*SIN(R74)-412*SIN(2*T74)-212*SIN(2*Q74-2*S74)-206*SIN(Q74+R74-2*S74)+192*SIN(Q74+2*S74)-165*SIN(R74-2*S74)-125*SIN(S74)-110*SIN(Q74+R74)+148*SIN(Q74-R74)-55*SIN(2*T74-2*S74)</f>
        <v>19020.2217944674</v>
      </c>
      <c r="Q74" s="18" t="n">
        <f aca="false">2*PI()*(0.374897+1325.55241*M74 - INT(0.374897+1325.55241*M74))</f>
        <v>1.44935290849406</v>
      </c>
      <c r="R74" s="26" t="n">
        <f aca="false">2*PI()*(0.99312619+99.99735956*M74 - 0.00000044*M74^2 - INT(0.99312619+99.99735956*M74- 0.00000044*M74^2))</f>
        <v>4.80411598503827</v>
      </c>
      <c r="S74" s="26" t="n">
        <f aca="false">2*PI()*(0.827361+1236.853086*M74 - INT(0.827361+1236.853086*M74))</f>
        <v>3.04395226872084</v>
      </c>
      <c r="T74" s="26" t="n">
        <f aca="false">2*PI()*(0.259086+1342.227825*M74 - INT(0.259086+1342.227825*M74))</f>
        <v>5.7315122769403</v>
      </c>
      <c r="U74" s="26" t="n">
        <f aca="false">T74+(P74+412*SIN(2*T74)+541*SIN(R74))/206264.8062</f>
        <v>5.81932995066093</v>
      </c>
      <c r="V74" s="26" t="n">
        <f aca="false">T74-2*S74</f>
        <v>-0.35639226050139</v>
      </c>
      <c r="W74" s="25" t="n">
        <f aca="false">-526*SIN(V74)+44*SIN(Q74+V74)-31*SIN(-Q74+V74)-23*SIN(R74+V74)+11*SIN(-R74+V74)-25*SIN(-2*Q74+T74)+21*SIN(-Q74+T74)</f>
        <v>258.168204901622</v>
      </c>
      <c r="X74" s="26" t="n">
        <f aca="false">2*PI()*(O74+P74/1296000-INT(O74+P74/1296000))</f>
        <v>0.318995724248522</v>
      </c>
      <c r="Y74" s="26" t="n">
        <f aca="false">(18520*SIN(U74)+W74)/206264.8062</f>
        <v>-0.0389192361374182</v>
      </c>
      <c r="Z74" s="26" t="n">
        <f aca="false">Y74*180/PI()</f>
        <v>-2.2299079725471</v>
      </c>
      <c r="AA74" s="26" t="n">
        <f aca="false">COS(Y74)*COS(X74)</f>
        <v>0.948831796050738</v>
      </c>
      <c r="AB74" s="26" t="n">
        <f aca="false">COS(Y74)*SIN(X74)</f>
        <v>0.31337562203562</v>
      </c>
      <c r="AC74" s="26" t="n">
        <f aca="false">SIN(Y74)</f>
        <v>-0.0389094116753175</v>
      </c>
      <c r="AD74" s="26" t="n">
        <f aca="false">COS($A$4*(23.4393-46.815*M74/3600))*AB74-SIN($A$4*(23.4393-46.815*M74/3600))*AC74</f>
        <v>0.302998370436212</v>
      </c>
      <c r="AE74" s="26" t="n">
        <f aca="false">SIN($A$4*(23.4393-46.815*M74/3600))*AB74+COS($A$4*(23.4393-46.815*M74/3600))*AC74</f>
        <v>0.0889393631421493</v>
      </c>
      <c r="AF74" s="26" t="n">
        <f aca="false">SQRT(1-AE74*AE74)</f>
        <v>0.996037042325168</v>
      </c>
      <c r="AG74" s="10" t="n">
        <f aca="false">ATAN(AE74/AF74)/$A$4</f>
        <v>5.10259237565632</v>
      </c>
      <c r="AH74" s="26" t="n">
        <f aca="false">IF(24*ATAN(AD74/(AA74+AF74))/PI()&gt;0,24*ATAN(AD74/(AA74+AF74))/PI(),24*ATAN(AD74/(AA74+AF74))/PI()+24)</f>
        <v>1.1806850738152</v>
      </c>
      <c r="AI74" s="10" t="n">
        <f aca="false">IF(N74-15*AH74&gt;0,N74-15*AH74,360+N74-15*AH74)</f>
        <v>0.872331496403959</v>
      </c>
      <c r="AJ74" s="18" t="n">
        <f aca="false">0.950724+0.051818*COS(Q74)+0.009531*COS(2*S74-Q74)+0.007843*COS(2*S74)+0.002824*COS(2*Q74)+0.000857*COS(2*S74+Q74)+0.000533*COS(2*S74-R74)+0.000401*COS(2*S74-R74-Q74)+0.00032*COS(Q74-R74)-0.000271*COS(S74)</f>
        <v>0.962021483805254</v>
      </c>
      <c r="AK74" s="50" t="n">
        <f aca="false">ASIN(COS($A$4*$G$2)*COS($A$4*AG74)*COS($A$4*AI74)+SIN($A$4*$G$2)*SIN($A$4*AG74))/$A$4</f>
        <v>61.8844852207094</v>
      </c>
      <c r="AL74" s="18" t="n">
        <f aca="false">ASIN((0.9983271+0.0016764*COS($A$4*2*$G$2))*COS($A$4*AK74)*SIN($A$4*AJ74))/$A$4</f>
        <v>0.453106285413232</v>
      </c>
      <c r="AM74" s="18" t="n">
        <f aca="false">AK74-AL74</f>
        <v>61.4313789352962</v>
      </c>
      <c r="AN74" s="10" t="n">
        <f aca="false"> IF(280.4664567 + 360007.6982779*M74/10 + 0.03032028*M74^2/100 + M74^3/49931000&lt;0,MOD(280.4664567 + 360007.6982779*M74/10 + 0.03032028*M74^2/100 + M74^3/49931000+360,360),MOD(280.4664567 + 360007.6982779*M74/10 + 0.03032028*M74^2/100 + M74^3/49931000,360))</f>
        <v>198.588390086406</v>
      </c>
      <c r="AO74" s="27" t="n">
        <f aca="false"> AN74 + (1.9146 - 0.004817*M74 - 0.000014*M74^2)*SIN(R74)+ (0.019993 - 0.000101*M74)*SIN(2*R74)+ 0.00029*SIN(3*R74)</f>
        <v>196.679568082775</v>
      </c>
      <c r="AP74" s="18" t="n">
        <f aca="false">ACOS(COS(X74-$A$4*AO74)*COS(Y74))/$A$4</f>
        <v>177.257129832376</v>
      </c>
      <c r="AQ74" s="25" t="n">
        <f aca="false">180 - AP74 -0.1468*(1-0.0549*SIN(R74))*SIN($A$4*AP74)/(1-0.0167*SIN($A$4*AO74))</f>
        <v>2.73549652050737</v>
      </c>
      <c r="AR74" s="25" t="n">
        <f aca="false">SIN($A$4*AI74)</f>
        <v>0.0152244685872485</v>
      </c>
      <c r="AS74" s="25" t="n">
        <f aca="false">COS($A$4*AI74)*SIN($A$4*$G$2) - TAN($A$4*AG74)*COS($A$4*$G$2)</f>
        <v>-0.472880693313916</v>
      </c>
      <c r="AT74" s="25" t="n">
        <f aca="false">IF(OR(AND(AR74*AS74&gt;0), AND(AR74&lt;0,AS74&gt;0)), MOD(ATAN2(AS74,AR74)/$A$4+360,360),  ATAN2(AS74,AR74)/$A$4)</f>
        <v>178.155990278475</v>
      </c>
      <c r="AU74" s="29" t="n">
        <f aca="false">(1+SIN($A$4*H74)*SIN($A$4*AJ74))*120*ASIN(0.272481*SIN($A$4*AJ74))/$A$4</f>
        <v>31.9183515593578</v>
      </c>
      <c r="AV74" s="10" t="n">
        <f aca="false">COS(X74)</f>
        <v>0.94955085091335</v>
      </c>
      <c r="AW74" s="10" t="n">
        <f aca="false">SIN(X74)</f>
        <v>0.313613108032386</v>
      </c>
      <c r="AX74" s="30" t="n">
        <f aca="false"> 385000.56 + (-20905355*COS(Q74) - 3699111*COS(2*S74-Q74) - 2955968*COS(2*S74) - 569925*COS(2*Q74) + (1-0.002516*M74)*48888*COS(R74) - 3149*COS(2*T74)  +246158*COS(2*S74-2*Q74) -(1-0.002516*M74)*152138*COS(2*S74-R74-Q74) -170733*COS(2*S74+Q74) -(1-0.002516*M74)*204586*COS(2*S74-R74) -(1-0.002516*M74)*129620*COS(R74-Q74)  + 108743*COS(S74) +(1-0.002516*M74)*104755*COS(R74+Q74) +10321*COS(2*S74-2*T74) +79661*COS(Q74-2*T74) -34782*COS(4*S74-Q74) -23210*COS(3*Q74)  -21636*COS(4*S74-2*Q74) +(1-0.002516*M74)*24208*COS(2*S74+R74-Q74) +(1-0.002516*M74)*30824*COS(2*S74+R74) -8379*COS(S74-Q74) -(1-0.002516*M74)*16675*COS(S74+R74)  -(1-0.002516*M74)*12831*COS(2*S74-R74+Q74) -10445*COS(2*S74+2*Q74) -11650*COS(4*S74) +14403*COS(2*S74-3*Q74) -(1-0.002516*M74)*7003*COS(R74-2*Q74)  + (1-0.002516*M74)*10056*COS(2*S74-R74-2*Q74) +6322*COS(S74+Q74) -(1-0.002516*M74)*(1-0.002516*M74)*9884*COS(2*S74-2*R74) +(1-0.002516*M74)*5751*COS(R74+2*Q74) -(1-0.002516*M74)*(1-0.002516*M74)*4950*COS(2*S74-2*R74-Q74)  +4130*COS(2*S74+Q74-2*T74) -(1-0.002516*M74)*3958*COS(4*S74-R74-Q74) +3258*COS(3*S74-Q74) +(1-0.002516*M74)*2616*COS(2*S74+R74+Q74) -(1-0.002516*M74)*1897*COS(4*S74-R74-2*Q74)  -(1-0.002516*M74)*(1-0.002516*M74)*2117*COS(2*R74-Q74) +(1-0.002516*M74)*(1-0.002516*M74)*2354*COS(2*S74+2*R74-Q74) -1423*COS(4*S74+Q74) -1117*COS(4*Q74) -(1-0.002516*M74)*1571*COS(4*S74-R74)  -1739*COS(S74-2*Q74) -4421*COS(2*Q74-2*T74) +(1-0.002516*M74)*(1-0.002516*M74)*1165*COS(2*R74+Q74) +8752*COS(2*S74-Q74-2*T74))/1000</f>
        <v>379986.134012924</v>
      </c>
      <c r="AY74" s="10" t="n">
        <f aca="false">AY73+1/8</f>
        <v>10</v>
      </c>
      <c r="AZ74" s="17" t="n">
        <f aca="false">AZ73+1</f>
        <v>73</v>
      </c>
      <c r="BA74" s="32" t="n">
        <f aca="false">ATAN(0.99664719*TAN($A$4*input!$E$2))</f>
        <v>-0.400219206115995</v>
      </c>
      <c r="BB74" s="32" t="n">
        <f aca="false">COS(BA74)</f>
        <v>0.920975608992155</v>
      </c>
      <c r="BC74" s="32" t="n">
        <f aca="false">0.99664719*SIN(BA74)</f>
        <v>-0.388313912533463</v>
      </c>
      <c r="BD74" s="32" t="n">
        <f aca="false">6378.14/AX74</f>
        <v>0.0167851914295985</v>
      </c>
      <c r="BE74" s="33" t="n">
        <f aca="false">MOD(N74-15*AH74,360)</f>
        <v>0.872331496403959</v>
      </c>
      <c r="BF74" s="27" t="n">
        <f aca="false">COS($A$4*AG74)*SIN($A$4*BE74)</f>
        <v>0.0151641346626155</v>
      </c>
      <c r="BG74" s="27" t="n">
        <f aca="false">COS($A$4*AG74)*COS($A$4*BE74)-BB74*BD74</f>
        <v>0.980462850790666</v>
      </c>
      <c r="BH74" s="27" t="n">
        <f aca="false">SIN($A$4*AG74)-BC74*BD74</f>
        <v>0.0954572864987999</v>
      </c>
      <c r="BI74" s="46" t="n">
        <f aca="false">SQRT(BF74^2+BG74^2+BH74^2)</f>
        <v>0.985215431419109</v>
      </c>
      <c r="BJ74" s="35" t="n">
        <f aca="false">AX74*BI74</f>
        <v>374368.202954823</v>
      </c>
    </row>
    <row r="75" customFormat="false" ht="15" hidden="false" customHeight="false" outlineLevel="0" collapsed="false">
      <c r="A75" s="0"/>
      <c r="B75" s="20"/>
      <c r="C75" s="15" t="n">
        <f aca="false">MOD(C74+3,24)</f>
        <v>3</v>
      </c>
      <c r="D75" s="17" t="n">
        <v>10</v>
      </c>
      <c r="E75" s="102" t="n">
        <f aca="false">input!$C$2</f>
        <v>10</v>
      </c>
      <c r="F75" s="102" t="n">
        <f aca="false">input!$D$2</f>
        <v>2022</v>
      </c>
      <c r="G75" s="0"/>
      <c r="H75" s="39" t="n">
        <f aca="false">AM75</f>
        <v>37.0750740974026</v>
      </c>
      <c r="I75" s="48" t="n">
        <f aca="false">H75+1.02/(TAN($A$4*(H75+10.3/(H75+5.11)))*60)</f>
        <v>37.0973742516396</v>
      </c>
      <c r="J75" s="39" t="n">
        <f aca="false">100*(1+COS($A$4*AQ75))/2</f>
        <v>99.8913593463309</v>
      </c>
      <c r="K75" s="48" t="n">
        <f aca="false">IF(AI75&gt;180,AT75-180,AT75+180)</f>
        <v>298.05296846778</v>
      </c>
      <c r="L75" s="10" t="n">
        <f aca="false">L74+1/8</f>
        <v>2459862.625</v>
      </c>
      <c r="M75" s="49" t="n">
        <f aca="false">(L75-2451545)/36525</f>
        <v>0.227724161533196</v>
      </c>
      <c r="N75" s="15" t="n">
        <f aca="false">MOD(280.46061837+360.98564736629*(L75-2451545)+0.000387933*M75^2-M75^3/38710000+$G$4,360)</f>
        <v>63.7058135247789</v>
      </c>
      <c r="O75" s="18" t="n">
        <f aca="false">0.60643382+1336.85522467*M75 - 0.00000313*M75^2 - INT(0.60643382+1336.85522467*M75 - 0.00000313*M75^2)</f>
        <v>0.040668786932315</v>
      </c>
      <c r="P75" s="15" t="n">
        <f aca="false">22640*SIN(Q75)-4586*SIN(Q75-2*S75)+2370*SIN(2*S75)+769*SIN(2*Q75)-668*SIN(R75)-412*SIN(2*T75)-212*SIN(2*Q75-2*S75)-206*SIN(Q75+R75-2*S75)+192*SIN(Q75+2*S75)-165*SIN(R75-2*S75)-125*SIN(S75)-110*SIN(Q75+R75)+148*SIN(Q75-R75)-55*SIN(2*T75-2*S75)</f>
        <v>19160.0870433064</v>
      </c>
      <c r="Q75" s="18" t="n">
        <f aca="false">2*PI()*(0.374897+1325.55241*M75 - INT(0.374897+1325.55241*M75))</f>
        <v>1.47785630146586</v>
      </c>
      <c r="R75" s="26" t="n">
        <f aca="false">2*PI()*(0.99312619+99.99735956*M75 - 0.00000044*M75^2 - INT(0.99312619+99.99735956*M75- 0.00000044*M75^2))</f>
        <v>4.80626623123635</v>
      </c>
      <c r="S75" s="26" t="n">
        <f aca="false">2*PI()*(0.827361+1236.853086*M75 - INT(0.827361+1236.853086*M75))</f>
        <v>3.07054835748541</v>
      </c>
      <c r="T75" s="26" t="n">
        <f aca="false">2*PI()*(0.259086+1342.227825*M75 - INT(0.259086+1342.227825*M75))</f>
        <v>5.76037424185806</v>
      </c>
      <c r="U75" s="26" t="n">
        <f aca="false">T75+(P75+412*SIN(2*T75)+541*SIN(R75))/206264.8062</f>
        <v>5.84892542052138</v>
      </c>
      <c r="V75" s="26" t="n">
        <f aca="false">T75-2*S75</f>
        <v>-0.38072247311276</v>
      </c>
      <c r="W75" s="25" t="n">
        <f aca="false">-526*SIN(V75)+44*SIN(Q75+V75)-31*SIN(-Q75+V75)-23*SIN(R75+V75)+11*SIN(-R75+V75)-25*SIN(-2*Q75+T75)+21*SIN(-Q75+T75)</f>
        <v>268.828197389384</v>
      </c>
      <c r="X75" s="26" t="n">
        <f aca="false">2*PI()*(O75+P75/1296000-INT(O75+P75/1296000))</f>
        <v>0.348420247812384</v>
      </c>
      <c r="Y75" s="26" t="n">
        <f aca="false">(18520*SIN(U75)+W75)/206264.8062</f>
        <v>-0.036473793382237</v>
      </c>
      <c r="Z75" s="26" t="n">
        <f aca="false">Y75*180/PI()</f>
        <v>-2.08979442363437</v>
      </c>
      <c r="AA75" s="26" t="n">
        <f aca="false">COS(Y75)*COS(X75)</f>
        <v>0.939288102374432</v>
      </c>
      <c r="AB75" s="26" t="n">
        <f aca="false">COS(Y75)*SIN(X75)</f>
        <v>0.341186331734187</v>
      </c>
      <c r="AC75" s="26" t="n">
        <f aca="false">SIN(Y75)</f>
        <v>-0.0364657068436661</v>
      </c>
      <c r="AD75" s="26" t="n">
        <f aca="false">COS($A$4*(23.4393-46.815*M75/3600))*AB75-SIN($A$4*(23.4393-46.815*M75/3600))*AC75</f>
        <v>0.327542833383854</v>
      </c>
      <c r="AE75" s="26" t="n">
        <f aca="false">SIN($A$4*(23.4393-46.815*M75/3600))*AB75+COS($A$4*(23.4393-46.815*M75/3600))*AC75</f>
        <v>0.102242618495006</v>
      </c>
      <c r="AF75" s="26" t="n">
        <f aca="false">SQRT(1-AE75*AE75)</f>
        <v>0.994759492019697</v>
      </c>
      <c r="AG75" s="10" t="n">
        <f aca="false">ATAN(AE75/AF75)/$A$4</f>
        <v>5.86832511349898</v>
      </c>
      <c r="AH75" s="26" t="n">
        <f aca="false">IF(24*ATAN(AD75/(AA75+AF75))/PI()&gt;0,24*ATAN(AD75/(AA75+AF75))/PI(),24*ATAN(AD75/(AA75+AF75))/PI()+24)</f>
        <v>1.28162495770224</v>
      </c>
      <c r="AI75" s="10" t="n">
        <f aca="false">IF(N75-15*AH75&gt;0,N75-15*AH75,360+N75-15*AH75)</f>
        <v>44.4814391592454</v>
      </c>
      <c r="AJ75" s="18" t="n">
        <f aca="false">0.950724+0.051818*COS(Q75)+0.009531*COS(2*S75-Q75)+0.007843*COS(2*S75)+0.002824*COS(2*Q75)+0.000857*COS(2*S75+Q75)+0.000533*COS(2*S75-R75)+0.000401*COS(2*S75-R75-Q75)+0.00032*COS(Q75-R75)-0.000271*COS(S75)</f>
        <v>0.960730363025044</v>
      </c>
      <c r="AK75" s="50" t="n">
        <f aca="false">ASIN(COS($A$4*$G$2)*COS($A$4*AG75)*COS($A$4*AI75)+SIN($A$4*$G$2)*SIN($A$4*AG75))/$A$4</f>
        <v>37.833456898304</v>
      </c>
      <c r="AL75" s="18" t="n">
        <f aca="false">ASIN((0.9983271+0.0016764*COS($A$4*2*$G$2))*COS($A$4*AK75)*SIN($A$4*AJ75))/$A$4</f>
        <v>0.758382800901478</v>
      </c>
      <c r="AM75" s="18" t="n">
        <f aca="false">AK75-AL75</f>
        <v>37.0750740974026</v>
      </c>
      <c r="AN75" s="10" t="n">
        <f aca="false"> IF(280.4664567 + 360007.6982779*M75/10 + 0.03032028*M75^2/100 + M75^3/49931000&lt;0,MOD(280.4664567 + 360007.6982779*M75/10 + 0.03032028*M75^2/100 + M75^3/49931000+360,360),MOD(280.4664567 + 360007.6982779*M75/10 + 0.03032028*M75^2/100 + M75^3/49931000,360))</f>
        <v>198.71159600689</v>
      </c>
      <c r="AO75" s="27" t="n">
        <f aca="false"> AN75 + (1.9146 - 0.004817*M75 - 0.000014*M75^2)*SIN(R75)+ (0.019993 - 0.000101*M75)*SIN(2*R75)+ 0.00029*SIN(3*R75)</f>
        <v>196.803070386431</v>
      </c>
      <c r="AP75" s="18" t="n">
        <f aca="false">ACOS(COS(X75-$A$4*AO75)*COS(Y75))/$A$4</f>
        <v>176.212120912297</v>
      </c>
      <c r="AQ75" s="25" t="n">
        <f aca="false">180 - AP75 -0.1468*(1-0.0549*SIN(R75))*SIN($A$4*AP75)/(1-0.0167*SIN($A$4*AO75))</f>
        <v>3.77770013042347</v>
      </c>
      <c r="AR75" s="25" t="n">
        <f aca="false">SIN($A$4*AI75)</f>
        <v>0.700678171624621</v>
      </c>
      <c r="AS75" s="25" t="n">
        <f aca="false">COS($A$4*AI75)*SIN($A$4*$G$2) - TAN($A$4*AG75)*COS($A$4*$G$2)</f>
        <v>-0.373388491236916</v>
      </c>
      <c r="AT75" s="25" t="n">
        <f aca="false">IF(OR(AND(AR75*AS75&gt;0), AND(AR75&lt;0,AS75&gt;0)), MOD(ATAN2(AS75,AR75)/$A$4+360,360),  ATAN2(AS75,AR75)/$A$4)</f>
        <v>118.05296846778</v>
      </c>
      <c r="AU75" s="29" t="n">
        <f aca="false">(1+SIN($A$4*H75)*SIN($A$4*AJ75))*120*ASIN(0.272481*SIN($A$4*AJ75))/$A$4</f>
        <v>31.7298531171009</v>
      </c>
      <c r="AV75" s="10" t="n">
        <f aca="false">COS(X75)</f>
        <v>0.939913234026526</v>
      </c>
      <c r="AW75" s="10" t="n">
        <f aca="false">SIN(X75)</f>
        <v>0.341413404103878</v>
      </c>
      <c r="AX75" s="30" t="n">
        <f aca="false"> 385000.56 + (-20905355*COS(Q75) - 3699111*COS(2*S75-Q75) - 2955968*COS(2*S75) - 569925*COS(2*Q75) + (1-0.002516*M75)*48888*COS(R75) - 3149*COS(2*T75)  +246158*COS(2*S75-2*Q75) -(1-0.002516*M75)*152138*COS(2*S75-R75-Q75) -170733*COS(2*S75+Q75) -(1-0.002516*M75)*204586*COS(2*S75-R75) -(1-0.002516*M75)*129620*COS(R75-Q75)  + 108743*COS(S75) +(1-0.002516*M75)*104755*COS(R75+Q75) +10321*COS(2*S75-2*T75) +79661*COS(Q75-2*T75) -34782*COS(4*S75-Q75) -23210*COS(3*Q75)  -21636*COS(4*S75-2*Q75) +(1-0.002516*M75)*24208*COS(2*S75+R75-Q75) +(1-0.002516*M75)*30824*COS(2*S75+R75) -8379*COS(S75-Q75) -(1-0.002516*M75)*16675*COS(S75+R75)  -(1-0.002516*M75)*12831*COS(2*S75-R75+Q75) -10445*COS(2*S75+2*Q75) -11650*COS(4*S75) +14403*COS(2*S75-3*Q75) -(1-0.002516*M75)*7003*COS(R75-2*Q75)  + (1-0.002516*M75)*10056*COS(2*S75-R75-2*Q75) +6322*COS(S75+Q75) -(1-0.002516*M75)*(1-0.002516*M75)*9884*COS(2*S75-2*R75) +(1-0.002516*M75)*5751*COS(R75+2*Q75) -(1-0.002516*M75)*(1-0.002516*M75)*4950*COS(2*S75-2*R75-Q75)  +4130*COS(2*S75+Q75-2*T75) -(1-0.002516*M75)*3958*COS(4*S75-R75-Q75) +3258*COS(3*S75-Q75) +(1-0.002516*M75)*2616*COS(2*S75+R75+Q75) -(1-0.002516*M75)*1897*COS(4*S75-R75-2*Q75)  -(1-0.002516*M75)*(1-0.002516*M75)*2117*COS(2*R75-Q75) +(1-0.002516*M75)*(1-0.002516*M75)*2354*COS(2*S75+2*R75-Q75) -1423*COS(4*S75+Q75) -1117*COS(4*Q75) -(1-0.002516*M75)*1571*COS(4*S75-R75)  -1739*COS(S75-2*Q75) -4421*COS(2*Q75-2*T75) +(1-0.002516*M75)*(1-0.002516*M75)*1165*COS(2*R75+Q75) +8752*COS(2*S75-Q75-2*T75))/1000</f>
        <v>380490.786276905</v>
      </c>
      <c r="AY75" s="10" t="n">
        <f aca="false">AY74+1/8</f>
        <v>10.125</v>
      </c>
      <c r="AZ75" s="17" t="n">
        <f aca="false">AZ74+1</f>
        <v>74</v>
      </c>
      <c r="BA75" s="32" t="n">
        <f aca="false">ATAN(0.99664719*TAN($A$4*input!$E$2))</f>
        <v>-0.400219206115995</v>
      </c>
      <c r="BB75" s="32" t="n">
        <f aca="false">COS(BA75)</f>
        <v>0.920975608992155</v>
      </c>
      <c r="BC75" s="32" t="n">
        <f aca="false">0.99664719*SIN(BA75)</f>
        <v>-0.388313912533463</v>
      </c>
      <c r="BD75" s="32" t="n">
        <f aca="false">6378.14/AX75</f>
        <v>0.0167629289066628</v>
      </c>
      <c r="BE75" s="33" t="n">
        <f aca="false">MOD(N75-15*AH75,360)</f>
        <v>44.4814391592454</v>
      </c>
      <c r="BF75" s="27" t="n">
        <f aca="false">COS($A$4*AG75)*SIN($A$4*BE75)</f>
        <v>0.697006262074598</v>
      </c>
      <c r="BG75" s="27" t="n">
        <f aca="false">COS($A$4*AG75)*COS($A$4*BE75)-BB75*BD75</f>
        <v>0.694300236695336</v>
      </c>
      <c r="BH75" s="27" t="n">
        <f aca="false">SIN($A$4*AG75)-BC75*BD75</f>
        <v>0.108751897004273</v>
      </c>
      <c r="BI75" s="46" t="n">
        <f aca="false">SQRT(BF75^2+BG75^2+BH75^2)</f>
        <v>0.989796707990298</v>
      </c>
      <c r="BJ75" s="35" t="n">
        <f aca="false">AX75*BI75</f>
        <v>376608.527677521</v>
      </c>
    </row>
    <row r="76" customFormat="false" ht="15" hidden="false" customHeight="false" outlineLevel="0" collapsed="false">
      <c r="A76" s="0"/>
      <c r="B76" s="20"/>
      <c r="C76" s="15" t="n">
        <f aca="false">MOD(C75+3,24)</f>
        <v>6</v>
      </c>
      <c r="D76" s="17" t="n">
        <v>10</v>
      </c>
      <c r="E76" s="102" t="n">
        <f aca="false">input!$C$2</f>
        <v>10</v>
      </c>
      <c r="F76" s="102" t="n">
        <f aca="false">input!$D$2</f>
        <v>2022</v>
      </c>
      <c r="G76" s="0"/>
      <c r="H76" s="39" t="n">
        <f aca="false">AM76</f>
        <v>-1.79729500119209</v>
      </c>
      <c r="I76" s="48" t="n">
        <f aca="false">H76+1.02/(TAN($A$4*(H76+10.3/(H76+5.11)))*60)</f>
        <v>-1.05499492667686</v>
      </c>
      <c r="J76" s="39" t="n">
        <f aca="false">100*(1+COS($A$4*AQ76))/2</f>
        <v>99.802883622796</v>
      </c>
      <c r="K76" s="48" t="n">
        <f aca="false">IF(AI76&gt;180,AT76-180,AT76+180)</f>
        <v>276.845366299585</v>
      </c>
      <c r="L76" s="10" t="n">
        <f aca="false">L75+1/8</f>
        <v>2459862.75</v>
      </c>
      <c r="M76" s="49" t="n">
        <f aca="false">(L76-2451545)/36525</f>
        <v>0.22772758384668</v>
      </c>
      <c r="N76" s="15" t="n">
        <f aca="false">MOD(280.46061837+360.98564736629*(L76-2451545)+0.000387933*M76^2-M76^3/38710000+$G$4,360)</f>
        <v>108.829019446392</v>
      </c>
      <c r="O76" s="18" t="n">
        <f aca="false">0.60643382+1336.85522467*M76 - 0.00000313*M76^2 - INT(0.60643382+1336.85522467*M76 - 0.00000313*M76^2)</f>
        <v>0.0452439245888172</v>
      </c>
      <c r="P76" s="15" t="n">
        <f aca="false">22640*SIN(Q76)-4586*SIN(Q76-2*S76)+2370*SIN(2*S76)+769*SIN(2*Q76)-668*SIN(R76)-412*SIN(2*T76)-212*SIN(2*Q76-2*S76)-206*SIN(Q76+R76-2*S76)+192*SIN(Q76+2*S76)-165*SIN(R76-2*S76)-125*SIN(S76)-110*SIN(Q76+R76)+148*SIN(Q76-R76)-55*SIN(2*T76-2*S76)</f>
        <v>19282.0661703994</v>
      </c>
      <c r="Q76" s="18" t="n">
        <f aca="false">2*PI()*(0.374897+1325.55241*M76 - INT(0.374897+1325.55241*M76))</f>
        <v>1.50635969443802</v>
      </c>
      <c r="R76" s="26" t="n">
        <f aca="false">2*PI()*(0.99312619+99.99735956*M76 - 0.00000044*M76^2 - INT(0.99312619+99.99735956*M76- 0.00000044*M76^2))</f>
        <v>4.80841647743445</v>
      </c>
      <c r="S76" s="26" t="n">
        <f aca="false">2*PI()*(0.827361+1236.853086*M76 - INT(0.827361+1236.853086*M76))</f>
        <v>3.09714444625033</v>
      </c>
      <c r="T76" s="26" t="n">
        <f aca="false">2*PI()*(0.259086+1342.227825*M76 - INT(0.259086+1342.227825*M76))</f>
        <v>5.78923620677546</v>
      </c>
      <c r="U76" s="26" t="n">
        <f aca="false">T76+(P76+412*SIN(2*T76)+541*SIN(R76))/206264.8062</f>
        <v>5.87843994511526</v>
      </c>
      <c r="V76" s="26" t="n">
        <f aca="false">T76-2*S76</f>
        <v>-0.405052685725204</v>
      </c>
      <c r="W76" s="25" t="n">
        <f aca="false">-526*SIN(V76)+44*SIN(Q76+V76)-31*SIN(-Q76+V76)-23*SIN(R76+V76)+11*SIN(-R76+V76)-25*SIN(-2*Q76+T76)+21*SIN(-Q76+T76)</f>
        <v>279.277692177676</v>
      </c>
      <c r="X76" s="26" t="n">
        <f aca="false">2*PI()*(O76+P76/1296000-INT(O76+P76/1296000))</f>
        <v>0.377758057010288</v>
      </c>
      <c r="Y76" s="26" t="n">
        <f aca="false">(18520*SIN(U76)+W76)/206264.8062</f>
        <v>-0.0340029656661579</v>
      </c>
      <c r="Z76" s="26" t="n">
        <f aca="false">Y76*180/PI()</f>
        <v>-1.94822642359909</v>
      </c>
      <c r="AA76" s="26" t="n">
        <f aca="false">COS(Y76)*COS(X76)</f>
        <v>0.928956594128376</v>
      </c>
      <c r="AB76" s="26" t="n">
        <f aca="false">COS(Y76)*SIN(X76)</f>
        <v>0.368624321068748</v>
      </c>
      <c r="AC76" s="26" t="n">
        <f aca="false">SIN(Y76)</f>
        <v>-0.0339964136639699</v>
      </c>
      <c r="AD76" s="26" t="n">
        <f aca="false">COS($A$4*(23.4393-46.815*M76/3600))*AB76-SIN($A$4*(23.4393-46.815*M76/3600))*AC76</f>
        <v>0.351735147213975</v>
      </c>
      <c r="AE76" s="26" t="n">
        <f aca="false">SIN($A$4*(23.4393-46.815*M76/3600))*AB76+COS($A$4*(23.4393-46.815*M76/3600))*AC76</f>
        <v>0.115421109160202</v>
      </c>
      <c r="AF76" s="26" t="n">
        <f aca="false">SQRT(1-AE76*AE76)</f>
        <v>0.993316650197825</v>
      </c>
      <c r="AG76" s="10" t="n">
        <f aca="false">ATAN(AE76/AF76)/$A$4</f>
        <v>6.62791456815353</v>
      </c>
      <c r="AH76" s="26" t="n">
        <f aca="false">IF(24*ATAN(AD76/(AA76+AF76))/PI()&gt;0,24*ATAN(AD76/(AA76+AF76))/PI(),24*ATAN(AD76/(AA76+AF76))/PI()+24)</f>
        <v>1.38256011439447</v>
      </c>
      <c r="AI76" s="10" t="n">
        <f aca="false">IF(N76-15*AH76&gt;0,N76-15*AH76,360+N76-15*AH76)</f>
        <v>88.0906177304745</v>
      </c>
      <c r="AJ76" s="18" t="n">
        <f aca="false">0.950724+0.051818*COS(Q76)+0.009531*COS(2*S76-Q76)+0.007843*COS(2*S76)+0.002824*COS(2*Q76)+0.000857*COS(2*S76+Q76)+0.000533*COS(2*S76-R76)+0.000401*COS(2*S76-R76-Q76)+0.00032*COS(Q76-R76)-0.000271*COS(S76)</f>
        <v>0.959420845192545</v>
      </c>
      <c r="AK76" s="50" t="n">
        <f aca="false">ASIN(COS($A$4*$G$2)*COS($A$4*AG76)*COS($A$4*AI76)+SIN($A$4*$G$2)*SIN($A$4*AG76))/$A$4</f>
        <v>-0.838464633815087</v>
      </c>
      <c r="AL76" s="18" t="n">
        <f aca="false">ASIN((0.9983271+0.0016764*COS($A$4*2*$G$2))*COS($A$4*AK76)*SIN($A$4*AJ76))/$A$4</f>
        <v>0.958830367377</v>
      </c>
      <c r="AM76" s="18" t="n">
        <f aca="false">AK76-AL76</f>
        <v>-1.79729500119209</v>
      </c>
      <c r="AN76" s="10" t="n">
        <f aca="false"> IF(280.4664567 + 360007.6982779*M76/10 + 0.03032028*M76^2/100 + M76^3/49931000&lt;0,MOD(280.4664567 + 360007.6982779*M76/10 + 0.03032028*M76^2/100 + M76^3/49931000+360,360),MOD(280.4664567 + 360007.6982779*M76/10 + 0.03032028*M76^2/100 + M76^3/49931000,360))</f>
        <v>198.834801927376</v>
      </c>
      <c r="AO76" s="27" t="n">
        <f aca="false"> AN76 + (1.9146 - 0.004817*M76 - 0.000014*M76^2)*SIN(R76)+ (0.019993 - 0.000101*M76)*SIN(2*R76)+ 0.00029*SIN(3*R76)</f>
        <v>196.926581555661</v>
      </c>
      <c r="AP76" s="18" t="n">
        <f aca="false">ACOS(COS(X76-$A$4*AO76)*COS(Y76))/$A$4</f>
        <v>174.897010880339</v>
      </c>
      <c r="AQ76" s="25" t="n">
        <f aca="false">180 - AP76 -0.1468*(1-0.0549*SIN(R76))*SIN($A$4*AP76)/(1-0.0167*SIN($A$4*AO76))</f>
        <v>5.08928489671387</v>
      </c>
      <c r="AR76" s="25" t="n">
        <f aca="false">SIN($A$4*AI76)</f>
        <v>0.999444773331864</v>
      </c>
      <c r="AS76" s="25" t="n">
        <f aca="false">COS($A$4*AI76)*SIN($A$4*$G$2) - TAN($A$4*AG76)*COS($A$4*$G$2)</f>
        <v>-0.11997925363878</v>
      </c>
      <c r="AT76" s="25" t="n">
        <f aca="false">IF(OR(AND(AR76*AS76&gt;0), AND(AR76&lt;0,AS76&gt;0)), MOD(ATAN2(AS76,AR76)/$A$4+360,360),  ATAN2(AS76,AR76)/$A$4)</f>
        <v>96.8453662995848</v>
      </c>
      <c r="AU76" s="29" t="n">
        <f aca="false">(1+SIN($A$4*H76)*SIN($A$4*AJ76))*120*ASIN(0.272481*SIN($A$4*AJ76))/$A$4</f>
        <v>31.3530429450248</v>
      </c>
      <c r="AV76" s="10" t="n">
        <f aca="false">COS(X76)</f>
        <v>0.929493883549583</v>
      </c>
      <c r="AW76" s="10" t="n">
        <f aca="false">SIN(X76)</f>
        <v>0.368837525807658</v>
      </c>
      <c r="AX76" s="30" t="n">
        <f aca="false"> 385000.56 + (-20905355*COS(Q76) - 3699111*COS(2*S76-Q76) - 2955968*COS(2*S76) - 569925*COS(2*Q76) + (1-0.002516*M76)*48888*COS(R76) - 3149*COS(2*T76)  +246158*COS(2*S76-2*Q76) -(1-0.002516*M76)*152138*COS(2*S76-R76-Q76) -170733*COS(2*S76+Q76) -(1-0.002516*M76)*204586*COS(2*S76-R76) -(1-0.002516*M76)*129620*COS(R76-Q76)  + 108743*COS(S76) +(1-0.002516*M76)*104755*COS(R76+Q76) +10321*COS(2*S76-2*T76) +79661*COS(Q76-2*T76) -34782*COS(4*S76-Q76) -23210*COS(3*Q76)  -21636*COS(4*S76-2*Q76) +(1-0.002516*M76)*24208*COS(2*S76+R76-Q76) +(1-0.002516*M76)*30824*COS(2*S76+R76) -8379*COS(S76-Q76) -(1-0.002516*M76)*16675*COS(S76+R76)  -(1-0.002516*M76)*12831*COS(2*S76-R76+Q76) -10445*COS(2*S76+2*Q76) -11650*COS(4*S76) +14403*COS(2*S76-3*Q76) -(1-0.002516*M76)*7003*COS(R76-2*Q76)  + (1-0.002516*M76)*10056*COS(2*S76-R76-2*Q76) +6322*COS(S76+Q76) -(1-0.002516*M76)*(1-0.002516*M76)*9884*COS(2*S76-2*R76) +(1-0.002516*M76)*5751*COS(R76+2*Q76) -(1-0.002516*M76)*(1-0.002516*M76)*4950*COS(2*S76-2*R76-Q76)  +4130*COS(2*S76+Q76-2*T76) -(1-0.002516*M76)*3958*COS(4*S76-R76-Q76) +3258*COS(3*S76-Q76) +(1-0.002516*M76)*2616*COS(2*S76+R76+Q76) -(1-0.002516*M76)*1897*COS(4*S76-R76-2*Q76)  -(1-0.002516*M76)*(1-0.002516*M76)*2117*COS(2*R76-Q76) +(1-0.002516*M76)*(1-0.002516*M76)*2354*COS(2*S76+2*R76-Q76) -1423*COS(4*S76+Q76) -1117*COS(4*Q76) -(1-0.002516*M76)*1571*COS(4*S76-R76)  -1739*COS(S76-2*Q76) -4421*COS(2*Q76-2*T76) +(1-0.002516*M76)*(1-0.002516*M76)*1165*COS(2*R76+Q76) +8752*COS(2*S76-Q76-2*T76))/1000</f>
        <v>381003.595830647</v>
      </c>
      <c r="AY76" s="10" t="n">
        <f aca="false">AY75+1/8</f>
        <v>10.25</v>
      </c>
      <c r="AZ76" s="17" t="n">
        <f aca="false">AZ75+1</f>
        <v>75</v>
      </c>
      <c r="BA76" s="32" t="n">
        <f aca="false">ATAN(0.99664719*TAN($A$4*input!$E$2))</f>
        <v>-0.400219206115995</v>
      </c>
      <c r="BB76" s="32" t="n">
        <f aca="false">COS(BA76)</f>
        <v>0.920975608992155</v>
      </c>
      <c r="BC76" s="32" t="n">
        <f aca="false">0.99664719*SIN(BA76)</f>
        <v>-0.388313912533463</v>
      </c>
      <c r="BD76" s="32" t="n">
        <f aca="false">6378.14/AX76</f>
        <v>0.0167403669408806</v>
      </c>
      <c r="BE76" s="33" t="n">
        <f aca="false">MOD(N76-15*AH76,360)</f>
        <v>88.0906177304745</v>
      </c>
      <c r="BF76" s="27" t="n">
        <f aca="false">COS($A$4*AG76)*SIN($A$4*BE76)</f>
        <v>0.992765134303732</v>
      </c>
      <c r="BG76" s="27" t="n">
        <f aca="false">COS($A$4*AG76)*COS($A$4*BE76)-BB76*BD76</f>
        <v>0.0176786883129341</v>
      </c>
      <c r="BH76" s="27" t="n">
        <f aca="false">SIN($A$4*AG76)-BC76*BD76</f>
        <v>0.121921626544261</v>
      </c>
      <c r="BI76" s="46" t="n">
        <f aca="false">SQRT(BF76^2+BG76^2+BH76^2)</f>
        <v>1.00037994328594</v>
      </c>
      <c r="BJ76" s="35" t="n">
        <f aca="false">AX76*BI76</f>
        <v>381148.3555888</v>
      </c>
    </row>
    <row r="77" customFormat="false" ht="15" hidden="false" customHeight="false" outlineLevel="0" collapsed="false">
      <c r="A77" s="0"/>
      <c r="B77" s="20"/>
      <c r="C77" s="15" t="n">
        <f aca="false">MOD(C76+3,24)</f>
        <v>9</v>
      </c>
      <c r="D77" s="17" t="n">
        <v>10</v>
      </c>
      <c r="E77" s="102" t="n">
        <f aca="false">input!$C$2</f>
        <v>10</v>
      </c>
      <c r="F77" s="102" t="n">
        <f aca="false">input!$D$2</f>
        <v>2022</v>
      </c>
      <c r="G77" s="0"/>
      <c r="H77" s="39" t="n">
        <f aca="false">AM77</f>
        <v>-41.8281432548379</v>
      </c>
      <c r="I77" s="48" t="n">
        <f aca="false">H77+1.02/(TAN($A$4*(H77+10.3/(H77+5.11)))*60)</f>
        <v>-41.8469518129067</v>
      </c>
      <c r="J77" s="39" t="n">
        <f aca="false">100*(1+COS($A$4*AQ77))/2</f>
        <v>99.6780012938414</v>
      </c>
      <c r="K77" s="48" t="n">
        <f aca="false">IF(AI77&gt;180,AT77-180,AT77+180)</f>
        <v>259.329331762176</v>
      </c>
      <c r="L77" s="10" t="n">
        <f aca="false">L76+1/8</f>
        <v>2459862.875</v>
      </c>
      <c r="M77" s="49" t="n">
        <f aca="false">(L77-2451545)/36525</f>
        <v>0.227731006160164</v>
      </c>
      <c r="N77" s="15" t="n">
        <f aca="false">MOD(280.46061837+360.98564736629*(L77-2451545)+0.000387933*M77^2-M77^3/38710000+$G$4,360)</f>
        <v>153.952225368004</v>
      </c>
      <c r="O77" s="18" t="n">
        <f aca="false">0.60643382+1336.85522467*M77 - 0.00000313*M77^2 - INT(0.60643382+1336.85522467*M77 - 0.00000313*M77^2)</f>
        <v>0.0498190622453762</v>
      </c>
      <c r="P77" s="15" t="n">
        <f aca="false">22640*SIN(Q77)-4586*SIN(Q77-2*S77)+2370*SIN(2*S77)+769*SIN(2*Q77)-668*SIN(R77)-412*SIN(2*T77)-212*SIN(2*Q77-2*S77)-206*SIN(Q77+R77-2*S77)+192*SIN(Q77+2*S77)-165*SIN(R77-2*S77)-125*SIN(S77)-110*SIN(Q77+R77)+148*SIN(Q77-R77)-55*SIN(2*T77-2*S77)</f>
        <v>19385.9250147792</v>
      </c>
      <c r="Q77" s="18" t="n">
        <f aca="false">2*PI()*(0.374897+1325.55241*M77 - INT(0.374897+1325.55241*M77))</f>
        <v>1.53486308741017</v>
      </c>
      <c r="R77" s="26" t="n">
        <f aca="false">2*PI()*(0.99312619+99.99735956*M77 - 0.00000044*M77^2 - INT(0.99312619+99.99735956*M77- 0.00000044*M77^2))</f>
        <v>4.81056672363258</v>
      </c>
      <c r="S77" s="26" t="n">
        <f aca="false">2*PI()*(0.827361+1236.853086*M77 - INT(0.827361+1236.853086*M77))</f>
        <v>3.12374053501526</v>
      </c>
      <c r="T77" s="26" t="n">
        <f aca="false">2*PI()*(0.259086+1342.227825*M77 - INT(0.259086+1342.227825*M77))</f>
        <v>5.81809817169322</v>
      </c>
      <c r="U77" s="26" t="n">
        <f aca="false">T77+(P77+412*SIN(2*T77)+541*SIN(R77))/206264.8062</f>
        <v>5.90787218715199</v>
      </c>
      <c r="V77" s="26" t="n">
        <f aca="false">T77-2*S77</f>
        <v>-0.429382898337289</v>
      </c>
      <c r="W77" s="25" t="n">
        <f aca="false">-526*SIN(V77)+44*SIN(Q77+V77)-31*SIN(-Q77+V77)-23*SIN(R77+V77)+11*SIN(-R77+V77)-25*SIN(-2*Q77+T77)+21*SIN(-Q77+T77)</f>
        <v>289.511795013102</v>
      </c>
      <c r="X77" s="26" t="n">
        <f aca="false">2*PI()*(O77+P77/1296000-INT(O77+P77/1296000))</f>
        <v>0.407008016598899</v>
      </c>
      <c r="Y77" s="26" t="n">
        <f aca="false">(18520*SIN(U77)+W77)/206264.8062</f>
        <v>-0.0315092585524932</v>
      </c>
      <c r="Z77" s="26" t="n">
        <f aca="false">Y77*180/PI()</f>
        <v>-1.80534753064435</v>
      </c>
      <c r="AA77" s="26" t="n">
        <f aca="false">COS(Y77)*COS(X77)</f>
        <v>0.917853522147019</v>
      </c>
      <c r="AB77" s="26" t="n">
        <f aca="false">COS(Y77)*SIN(X77)</f>
        <v>0.395667040625062</v>
      </c>
      <c r="AC77" s="26" t="n">
        <f aca="false">SIN(Y77)</f>
        <v>-0.0315040449040645</v>
      </c>
      <c r="AD77" s="26" t="n">
        <f aca="false">COS($A$4*(23.4393-46.815*M77/3600))*AB77-SIN($A$4*(23.4393-46.815*M77/3600))*AC77</f>
        <v>0.375555622183847</v>
      </c>
      <c r="AE77" s="26" t="n">
        <f aca="false">SIN($A$4*(23.4393-46.815*M77/3600))*AB77+COS($A$4*(23.4393-46.815*M77/3600))*AC77</f>
        <v>0.128463561091912</v>
      </c>
      <c r="AF77" s="26" t="n">
        <f aca="false">SQRT(1-AE77*AE77)</f>
        <v>0.991714229741403</v>
      </c>
      <c r="AG77" s="10" t="n">
        <f aca="false">ATAN(AE77/AF77)/$A$4</f>
        <v>7.38081640424077</v>
      </c>
      <c r="AH77" s="26" t="n">
        <f aca="false">IF(24*ATAN(AD77/(AA77+AF77))/PI()&gt;0,24*ATAN(AD77/(AA77+AF77))/PI(),24*ATAN(AD77/(AA77+AF77))/PI()+24)</f>
        <v>1.48351810672904</v>
      </c>
      <c r="AI77" s="10" t="n">
        <f aca="false">IF(N77-15*AH77&gt;0,N77-15*AH77,360+N77-15*AH77)</f>
        <v>131.699453767069</v>
      </c>
      <c r="AJ77" s="18" t="n">
        <f aca="false">0.950724+0.051818*COS(Q77)+0.009531*COS(2*S77-Q77)+0.007843*COS(2*S77)+0.002824*COS(2*Q77)+0.000857*COS(2*S77+Q77)+0.000533*COS(2*S77-R77)+0.000401*COS(2*S77-R77-Q77)+0.00032*COS(Q77-R77)-0.000271*COS(S77)</f>
        <v>0.958094456629292</v>
      </c>
      <c r="AK77" s="50" t="n">
        <f aca="false">ASIN(COS($A$4*$G$2)*COS($A$4*AG77)*COS($A$4*AI77)+SIN($A$4*$G$2)*SIN($A$4*AG77))/$A$4</f>
        <v>-41.1066125976681</v>
      </c>
      <c r="AL77" s="18" t="n">
        <f aca="false">ASIN((0.9983271+0.0016764*COS($A$4*2*$G$2))*COS($A$4*AK77)*SIN($A$4*AJ77))/$A$4</f>
        <v>0.721530657169795</v>
      </c>
      <c r="AM77" s="18" t="n">
        <f aca="false">AK77-AL77</f>
        <v>-41.8281432548379</v>
      </c>
      <c r="AN77" s="10" t="n">
        <f aca="false"> IF(280.4664567 + 360007.6982779*M77/10 + 0.03032028*M77^2/100 + M77^3/49931000&lt;0,MOD(280.4664567 + 360007.6982779*M77/10 + 0.03032028*M77^2/100 + M77^3/49931000+360,360),MOD(280.4664567 + 360007.6982779*M77/10 + 0.03032028*M77^2/100 + M77^3/49931000,360))</f>
        <v>198.958007847863</v>
      </c>
      <c r="AO77" s="27" t="n">
        <f aca="false"> AN77 + (1.9146 - 0.004817*M77 - 0.000014*M77^2)*SIN(R77)+ (0.019993 - 0.000101*M77)*SIN(2*R77)+ 0.00029*SIN(3*R77)</f>
        <v>197.050101590241</v>
      </c>
      <c r="AP77" s="18" t="n">
        <f aca="false">ACOS(COS(X77-$A$4*AO77)*COS(Y77))/$A$4</f>
        <v>173.476511771241</v>
      </c>
      <c r="AQ77" s="25" t="n">
        <f aca="false">180 - AP77 -0.1468*(1-0.0549*SIN(R77))*SIN($A$4*AP77)/(1-0.0167*SIN($A$4*AO77))</f>
        <v>6.50598469802874</v>
      </c>
      <c r="AR77" s="25" t="n">
        <f aca="false">SIN($A$4*AI77)</f>
        <v>0.746644524267046</v>
      </c>
      <c r="AS77" s="25" t="n">
        <f aca="false">COS($A$4*AI77)*SIN($A$4*$G$2) - TAN($A$4*AG77)*COS($A$4*$G$2)</f>
        <v>0.140684104798375</v>
      </c>
      <c r="AT77" s="25" t="n">
        <f aca="false">IF(OR(AND(AR77*AS77&gt;0), AND(AR77&lt;0,AS77&gt;0)), MOD(ATAN2(AS77,AR77)/$A$4+360,360),  ATAN2(AS77,AR77)/$A$4)</f>
        <v>79.329331762176</v>
      </c>
      <c r="AU77" s="29" t="n">
        <f aca="false">(1+SIN($A$4*H77)*SIN($A$4*AJ77))*120*ASIN(0.272481*SIN($A$4*AJ77))/$A$4</f>
        <v>30.9768255885943</v>
      </c>
      <c r="AV77" s="10" t="n">
        <f aca="false">COS(X77)</f>
        <v>0.918309348516518</v>
      </c>
      <c r="AW77" s="10" t="n">
        <f aca="false">SIN(X77)</f>
        <v>0.395863537632816</v>
      </c>
      <c r="AX77" s="30" t="n">
        <f aca="false"> 385000.56 + (-20905355*COS(Q77) - 3699111*COS(2*S77-Q77) - 2955968*COS(2*S77) - 569925*COS(2*Q77) + (1-0.002516*M77)*48888*COS(R77) - 3149*COS(2*T77)  +246158*COS(2*S77-2*Q77) -(1-0.002516*M77)*152138*COS(2*S77-R77-Q77) -170733*COS(2*S77+Q77) -(1-0.002516*M77)*204586*COS(2*S77-R77) -(1-0.002516*M77)*129620*COS(R77-Q77)  + 108743*COS(S77) +(1-0.002516*M77)*104755*COS(R77+Q77) +10321*COS(2*S77-2*T77) +79661*COS(Q77-2*T77) -34782*COS(4*S77-Q77) -23210*COS(3*Q77)  -21636*COS(4*S77-2*Q77) +(1-0.002516*M77)*24208*COS(2*S77+R77-Q77) +(1-0.002516*M77)*30824*COS(2*S77+R77) -8379*COS(S77-Q77) -(1-0.002516*M77)*16675*COS(S77+R77)  -(1-0.002516*M77)*12831*COS(2*S77-R77+Q77) -10445*COS(2*S77+2*Q77) -11650*COS(4*S77) +14403*COS(2*S77-3*Q77) -(1-0.002516*M77)*7003*COS(R77-2*Q77)  + (1-0.002516*M77)*10056*COS(2*S77-R77-2*Q77) +6322*COS(S77+Q77) -(1-0.002516*M77)*(1-0.002516*M77)*9884*COS(2*S77-2*R77) +(1-0.002516*M77)*5751*COS(R77+2*Q77) -(1-0.002516*M77)*(1-0.002516*M77)*4950*COS(2*S77-2*R77-Q77)  +4130*COS(2*S77+Q77-2*T77) -(1-0.002516*M77)*3958*COS(4*S77-R77-Q77) +3258*COS(3*S77-Q77) +(1-0.002516*M77)*2616*COS(2*S77+R77+Q77) -(1-0.002516*M77)*1897*COS(4*S77-R77-2*Q77)  -(1-0.002516*M77)*(1-0.002516*M77)*2117*COS(2*R77-Q77) +(1-0.002516*M77)*(1-0.002516*M77)*2354*COS(2*S77+2*R77-Q77) -1423*COS(4*S77+Q77) -1117*COS(4*Q77) -(1-0.002516*M77)*1571*COS(4*S77-R77)  -1739*COS(S77-2*Q77) -4421*COS(2*Q77-2*T77) +(1-0.002516*M77)*(1-0.002516*M77)*1165*COS(2*R77+Q77) +8752*COS(2*S77-Q77-2*T77))/1000</f>
        <v>381524.071081764</v>
      </c>
      <c r="AY77" s="10" t="n">
        <f aca="false">AY76+1/8</f>
        <v>10.375</v>
      </c>
      <c r="AZ77" s="17" t="n">
        <f aca="false">AZ76+1</f>
        <v>76</v>
      </c>
      <c r="BA77" s="32" t="n">
        <f aca="false">ATAN(0.99664719*TAN($A$4*input!$E$2))</f>
        <v>-0.400219206115995</v>
      </c>
      <c r="BB77" s="32" t="n">
        <f aca="false">COS(BA77)</f>
        <v>0.920975608992155</v>
      </c>
      <c r="BC77" s="32" t="n">
        <f aca="false">0.99664719*SIN(BA77)</f>
        <v>-0.388313912533463</v>
      </c>
      <c r="BD77" s="32" t="n">
        <f aca="false">6378.14/AX77</f>
        <v>0.0167175297273265</v>
      </c>
      <c r="BE77" s="33" t="n">
        <f aca="false">MOD(N77-15*AH77,360)</f>
        <v>131.699453767069</v>
      </c>
      <c r="BF77" s="27" t="n">
        <f aca="false">COS($A$4*AG77)*SIN($A$4*BE77)</f>
        <v>0.74045799927413</v>
      </c>
      <c r="BG77" s="27" t="n">
        <f aca="false">COS($A$4*AG77)*COS($A$4*BE77)-BB77*BD77</f>
        <v>-0.675107786715015</v>
      </c>
      <c r="BH77" s="27" t="n">
        <f aca="false">SIN($A$4*AG77)-BC77*BD77</f>
        <v>0.134955210468225</v>
      </c>
      <c r="BI77" s="46" t="n">
        <f aca="false">SQRT(BF77^2+BG77^2+BH77^2)</f>
        <v>1.01106947397536</v>
      </c>
      <c r="BJ77" s="35" t="n">
        <f aca="false">AX77*BI77</f>
        <v>385747.341857577</v>
      </c>
    </row>
    <row r="78" customFormat="false" ht="15" hidden="false" customHeight="false" outlineLevel="0" collapsed="false">
      <c r="A78" s="0"/>
      <c r="B78" s="20"/>
      <c r="C78" s="15" t="n">
        <f aca="false">MOD(C77+3,24)</f>
        <v>12</v>
      </c>
      <c r="D78" s="17" t="n">
        <v>10</v>
      </c>
      <c r="E78" s="102" t="n">
        <f aca="false">input!$C$2</f>
        <v>10</v>
      </c>
      <c r="F78" s="102" t="n">
        <f aca="false">input!$D$2</f>
        <v>2022</v>
      </c>
      <c r="G78" s="0"/>
      <c r="H78" s="39" t="n">
        <f aca="false">AM78</f>
        <v>-74.7155177820564</v>
      </c>
      <c r="I78" s="48" t="n">
        <f aca="false">H78+1.02/(TAN($A$4*(H78+10.3/(H78+5.11)))*60)</f>
        <v>-74.7201163560315</v>
      </c>
      <c r="J78" s="39" t="n">
        <f aca="false">100*(1+COS($A$4*AQ78))/2</f>
        <v>99.5171474261901</v>
      </c>
      <c r="K78" s="48" t="n">
        <f aca="false">IF(AI78&gt;180,AT78-180,AT78+180)</f>
        <v>197.594195740161</v>
      </c>
      <c r="L78" s="10" t="n">
        <f aca="false">L77+1/8</f>
        <v>2459863</v>
      </c>
      <c r="M78" s="49" t="n">
        <f aca="false">(L78-2451545)/36525</f>
        <v>0.227734428473648</v>
      </c>
      <c r="N78" s="15" t="n">
        <f aca="false">MOD(280.46061837+360.98564736629*(L78-2451545)+0.000387933*M78^2-M78^3/38710000+$G$4,360)</f>
        <v>199.075431289151</v>
      </c>
      <c r="O78" s="18" t="n">
        <f aca="false">0.60643382+1336.85522467*M78 - 0.00000313*M78^2 - INT(0.60643382+1336.85522467*M78 - 0.00000313*M78^2)</f>
        <v>0.0543941999019353</v>
      </c>
      <c r="P78" s="15" t="n">
        <f aca="false">22640*SIN(Q78)-4586*SIN(Q78-2*S78)+2370*SIN(2*S78)+769*SIN(2*Q78)-668*SIN(R78)-412*SIN(2*T78)-212*SIN(2*Q78-2*S78)-206*SIN(Q78+R78-2*S78)+192*SIN(Q78+2*S78)-165*SIN(R78-2*S78)-125*SIN(S78)-110*SIN(Q78+R78)+148*SIN(Q78-R78)-55*SIN(2*T78-2*S78)</f>
        <v>19471.4553418364</v>
      </c>
      <c r="Q78" s="18" t="n">
        <f aca="false">2*PI()*(0.374897+1325.55241*M78 - INT(0.374897+1325.55241*M78))</f>
        <v>1.56336648038197</v>
      </c>
      <c r="R78" s="26" t="n">
        <f aca="false">2*PI()*(0.99312619+99.99735956*M78 - 0.00000044*M78^2 - INT(0.99312619+99.99735956*M78- 0.00000044*M78^2))</f>
        <v>4.81271696983066</v>
      </c>
      <c r="S78" s="26" t="n">
        <f aca="false">2*PI()*(0.827361+1236.853086*M78 - INT(0.827361+1236.853086*M78))</f>
        <v>3.15033662378018</v>
      </c>
      <c r="T78" s="26" t="n">
        <f aca="false">2*PI()*(0.259086+1342.227825*M78 - INT(0.259086+1342.227825*M78))</f>
        <v>5.84696013661098</v>
      </c>
      <c r="U78" s="26" t="n">
        <f aca="false">T78+(P78+412*SIN(2*T78)+541*SIN(R78))/206264.8062</f>
        <v>5.93722091653002</v>
      </c>
      <c r="V78" s="26" t="n">
        <f aca="false">T78-2*S78</f>
        <v>-0.453713110949376</v>
      </c>
      <c r="W78" s="25" t="n">
        <f aca="false">-526*SIN(V78)+44*SIN(Q78+V78)-31*SIN(-Q78+V78)-23*SIN(R78+V78)+11*SIN(-R78+V78)-25*SIN(-2*Q78+T78)+21*SIN(-Q78+T78)</f>
        <v>299.525916292016</v>
      </c>
      <c r="X78" s="26" t="n">
        <f aca="false">2*PI()*(O78+P78/1296000-INT(O78+P78/1296000))</f>
        <v>0.436169117027985</v>
      </c>
      <c r="Y78" s="26" t="n">
        <f aca="false">(18520*SIN(U78)+W78)/206264.8062</f>
        <v>-0.0289951632241789</v>
      </c>
      <c r="Z78" s="26" t="n">
        <f aca="false">Y78*180/PI()</f>
        <v>-1.66130047903839</v>
      </c>
      <c r="AA78" s="26" t="n">
        <f aca="false">COS(Y78)*COS(X78)</f>
        <v>0.905995766959945</v>
      </c>
      <c r="AB78" s="26" t="n">
        <f aca="false">COS(Y78)*SIN(X78)</f>
        <v>0.422292773247356</v>
      </c>
      <c r="AC78" s="26" t="n">
        <f aca="false">SIN(Y78)</f>
        <v>-0.0289911005951509</v>
      </c>
      <c r="AD78" s="26" t="n">
        <f aca="false">COS($A$4*(23.4393-46.815*M78/3600))*AB78-SIN($A$4*(23.4393-46.815*M78/3600))*AC78</f>
        <v>0.398985327084249</v>
      </c>
      <c r="AE78" s="26" t="n">
        <f aca="false">SIN($A$4*(23.4393-46.815*M78/3600))*AB78+COS($A$4*(23.4393-46.815*M78/3600))*AC78</f>
        <v>0.141359042944327</v>
      </c>
      <c r="AF78" s="26" t="n">
        <f aca="false">SQRT(1-AE78*AE78)</f>
        <v>0.989958393558974</v>
      </c>
      <c r="AG78" s="10" t="n">
        <f aca="false">ATAN(AE78/AF78)/$A$4</f>
        <v>8.12649583415842</v>
      </c>
      <c r="AH78" s="26" t="n">
        <f aca="false">IF(24*ATAN(AD78/(AA78+AF78))/PI()&gt;0,24*ATAN(AD78/(AA78+AF78))/PI(),24*ATAN(AD78/(AA78+AF78))/PI()+24)</f>
        <v>1.58452580591285</v>
      </c>
      <c r="AI78" s="10" t="n">
        <f aca="false">IF(N78-15*AH78&gt;0,N78-15*AH78,360+N78-15*AH78)</f>
        <v>175.307544200459</v>
      </c>
      <c r="AJ78" s="18" t="n">
        <f aca="false">0.950724+0.051818*COS(Q78)+0.009531*COS(2*S78-Q78)+0.007843*COS(2*S78)+0.002824*COS(2*Q78)+0.000857*COS(2*S78+Q78)+0.000533*COS(2*S78-R78)+0.000401*COS(2*S78-R78-Q78)+0.00032*COS(Q78-R78)-0.000271*COS(S78)</f>
        <v>0.956752765296216</v>
      </c>
      <c r="AK78" s="50" t="n">
        <f aca="false">ASIN(COS($A$4*$G$2)*COS($A$4*AG78)*COS($A$4*AI78)+SIN($A$4*$G$2)*SIN($A$4*AG78))/$A$4</f>
        <v>-74.459323628148</v>
      </c>
      <c r="AL78" s="18" t="n">
        <f aca="false">ASIN((0.9983271+0.0016764*COS($A$4*2*$G$2))*COS($A$4*AK78)*SIN($A$4*AJ78))/$A$4</f>
        <v>0.256194153908416</v>
      </c>
      <c r="AM78" s="18" t="n">
        <f aca="false">AK78-AL78</f>
        <v>-74.7155177820564</v>
      </c>
      <c r="AN78" s="10" t="n">
        <f aca="false"> IF(280.4664567 + 360007.6982779*M78/10 + 0.03032028*M78^2/100 + M78^3/49931000&lt;0,MOD(280.4664567 + 360007.6982779*M78/10 + 0.03032028*M78^2/100 + M78^3/49931000+360,360),MOD(280.4664567 + 360007.6982779*M78/10 + 0.03032028*M78^2/100 + M78^3/49931000,360))</f>
        <v>199.081213768348</v>
      </c>
      <c r="AO78" s="27" t="n">
        <f aca="false"> AN78 + (1.9146 - 0.004817*M78 - 0.000014*M78^2)*SIN(R78)+ (0.019993 - 0.000101*M78)*SIN(2*R78)+ 0.00029*SIN(3*R78)</f>
        <v>197.173630489905</v>
      </c>
      <c r="AP78" s="18" t="n">
        <f aca="false">ACOS(COS(X78-$A$4*AO78)*COS(Y78))/$A$4</f>
        <v>172.0094706121</v>
      </c>
      <c r="AQ78" s="25" t="n">
        <f aca="false">180 - AP78 -0.1468*(1-0.0549*SIN(R78))*SIN($A$4*AP78)/(1-0.0167*SIN($A$4*AO78))</f>
        <v>7.96911371848351</v>
      </c>
      <c r="AR78" s="25" t="n">
        <f aca="false">SIN($A$4*AI78)</f>
        <v>0.0818072795417929</v>
      </c>
      <c r="AS78" s="25" t="n">
        <f aca="false">COS($A$4*AI78)*SIN($A$4*$G$2) - TAN($A$4*AG78)*COS($A$4*$G$2)</f>
        <v>0.257979893421888</v>
      </c>
      <c r="AT78" s="25" t="n">
        <f aca="false">IF(OR(AND(AR78*AS78&gt;0), AND(AR78&lt;0,AS78&gt;0)), MOD(ATAN2(AS78,AR78)/$A$4+360,360),  ATAN2(AS78,AR78)/$A$4)</f>
        <v>17.5941957401607</v>
      </c>
      <c r="AU78" s="29" t="n">
        <f aca="false">(1+SIN($A$4*H78)*SIN($A$4*AJ78))*120*ASIN(0.272481*SIN($A$4*AJ78))/$A$4</f>
        <v>30.778421412651</v>
      </c>
      <c r="AV78" s="10" t="n">
        <f aca="false">COS(X78)</f>
        <v>0.906376744564947</v>
      </c>
      <c r="AW78" s="10" t="n">
        <f aca="false">SIN(X78)</f>
        <v>0.422470350334611</v>
      </c>
      <c r="AX78" s="30" t="n">
        <f aca="false"> 385000.56 + (-20905355*COS(Q78) - 3699111*COS(2*S78-Q78) - 2955968*COS(2*S78) - 569925*COS(2*Q78) + (1-0.002516*M78)*48888*COS(R78) - 3149*COS(2*T78)  +246158*COS(2*S78-2*Q78) -(1-0.002516*M78)*152138*COS(2*S78-R78-Q78) -170733*COS(2*S78+Q78) -(1-0.002516*M78)*204586*COS(2*S78-R78) -(1-0.002516*M78)*129620*COS(R78-Q78)  + 108743*COS(S78) +(1-0.002516*M78)*104755*COS(R78+Q78) +10321*COS(2*S78-2*T78) +79661*COS(Q78-2*T78) -34782*COS(4*S78-Q78) -23210*COS(3*Q78)  -21636*COS(4*S78-2*Q78) +(1-0.002516*M78)*24208*COS(2*S78+R78-Q78) +(1-0.002516*M78)*30824*COS(2*S78+R78) -8379*COS(S78-Q78) -(1-0.002516*M78)*16675*COS(S78+R78)  -(1-0.002516*M78)*12831*COS(2*S78-R78+Q78) -10445*COS(2*S78+2*Q78) -11650*COS(4*S78) +14403*COS(2*S78-3*Q78) -(1-0.002516*M78)*7003*COS(R78-2*Q78)  + (1-0.002516*M78)*10056*COS(2*S78-R78-2*Q78) +6322*COS(S78+Q78) -(1-0.002516*M78)*(1-0.002516*M78)*9884*COS(2*S78-2*R78) +(1-0.002516*M78)*5751*COS(R78+2*Q78) -(1-0.002516*M78)*(1-0.002516*M78)*4950*COS(2*S78-2*R78-Q78)  +4130*COS(2*S78+Q78-2*T78) -(1-0.002516*M78)*3958*COS(4*S78-R78-Q78) +3258*COS(3*S78-Q78) +(1-0.002516*M78)*2616*COS(2*S78+R78+Q78) -(1-0.002516*M78)*1897*COS(4*S78-R78-2*Q78)  -(1-0.002516*M78)*(1-0.002516*M78)*2117*COS(2*R78-Q78) +(1-0.002516*M78)*(1-0.002516*M78)*2354*COS(2*S78+2*R78-Q78) -1423*COS(4*S78+Q78) -1117*COS(4*Q78) -(1-0.002516*M78)*1571*COS(4*S78-R78)  -1739*COS(S78-2*Q78) -4421*COS(2*Q78-2*T78) +(1-0.002516*M78)*(1-0.002516*M78)*1165*COS(2*R78+Q78) +8752*COS(2*S78-Q78-2*T78))/1000</f>
        <v>382051.701330775</v>
      </c>
      <c r="AY78" s="10" t="n">
        <f aca="false">AY77+1/8</f>
        <v>10.5</v>
      </c>
      <c r="AZ78" s="17" t="n">
        <f aca="false">AZ77+1</f>
        <v>77</v>
      </c>
      <c r="BA78" s="32" t="n">
        <f aca="false">ATAN(0.99664719*TAN($A$4*input!$E$2))</f>
        <v>-0.400219206115995</v>
      </c>
      <c r="BB78" s="32" t="n">
        <f aca="false">COS(BA78)</f>
        <v>0.920975608992155</v>
      </c>
      <c r="BC78" s="32" t="n">
        <f aca="false">0.99664719*SIN(BA78)</f>
        <v>-0.388313912533463</v>
      </c>
      <c r="BD78" s="32" t="n">
        <f aca="false">6378.14/AX78</f>
        <v>0.0166944420814865</v>
      </c>
      <c r="BE78" s="33" t="n">
        <f aca="false">MOD(N78-15*AH78,360)</f>
        <v>175.307544200459</v>
      </c>
      <c r="BF78" s="27" t="n">
        <f aca="false">COS($A$4*AG78)*SIN($A$4*BE78)</f>
        <v>0.0809858030366232</v>
      </c>
      <c r="BG78" s="27" t="n">
        <f aca="false">COS($A$4*AG78)*COS($A$4*BE78)-BB78*BD78</f>
        <v>-1.00201539242358</v>
      </c>
      <c r="BH78" s="27" t="n">
        <f aca="false">SIN($A$4*AG78)-BC78*BD78</f>
        <v>0.147841727066552</v>
      </c>
      <c r="BI78" s="46" t="n">
        <f aca="false">SQRT(BF78^2+BG78^2+BH78^2)</f>
        <v>1.01609582383223</v>
      </c>
      <c r="BJ78" s="35" t="n">
        <f aca="false">AX78*BI78</f>
        <v>388201.138210198</v>
      </c>
    </row>
    <row r="79" customFormat="false" ht="15" hidden="false" customHeight="false" outlineLevel="0" collapsed="false">
      <c r="A79" s="0"/>
      <c r="B79" s="20"/>
      <c r="C79" s="15" t="n">
        <f aca="false">MOD(C78+3,24)</f>
        <v>15</v>
      </c>
      <c r="D79" s="17" t="n">
        <v>10</v>
      </c>
      <c r="E79" s="102" t="n">
        <f aca="false">input!$C$2</f>
        <v>10</v>
      </c>
      <c r="F79" s="102" t="n">
        <f aca="false">input!$D$2</f>
        <v>2022</v>
      </c>
      <c r="G79" s="0"/>
      <c r="H79" s="39" t="n">
        <f aca="false">AM79</f>
        <v>-50.7761137602849</v>
      </c>
      <c r="I79" s="48" t="n">
        <f aca="false">H79+1.02/(TAN($A$4*(H79+10.3/(H79+5.11)))*60)</f>
        <v>-50.7898792714248</v>
      </c>
      <c r="J79" s="39" t="n">
        <f aca="false">100*(1+COS($A$4*AQ79))/2</f>
        <v>99.3207868920383</v>
      </c>
      <c r="K79" s="48" t="n">
        <f aca="false">IF(AI79&gt;180,AT79-180,AT79+180)</f>
        <v>104.329459953726</v>
      </c>
      <c r="L79" s="10" t="n">
        <f aca="false">L78+1/8</f>
        <v>2459863.125</v>
      </c>
      <c r="M79" s="49" t="n">
        <f aca="false">(L79-2451545)/36525</f>
        <v>0.227737850787132</v>
      </c>
      <c r="N79" s="15" t="n">
        <f aca="false">MOD(280.46061837+360.98564736629*(L79-2451545)+0.000387933*M79^2-M79^3/38710000+$G$4,360)</f>
        <v>244.198637210298</v>
      </c>
      <c r="O79" s="18" t="n">
        <f aca="false">0.60643382+1336.85522467*M79 - 0.00000313*M79^2 - INT(0.60643382+1336.85522467*M79 - 0.00000313*M79^2)</f>
        <v>0.0589693375584375</v>
      </c>
      <c r="P79" s="15" t="n">
        <f aca="false">22640*SIN(Q79)-4586*SIN(Q79-2*S79)+2370*SIN(2*S79)+769*SIN(2*Q79)-668*SIN(R79)-412*SIN(2*T79)-212*SIN(2*Q79-2*S79)-206*SIN(Q79+R79-2*S79)+192*SIN(Q79+2*S79)-165*SIN(R79-2*S79)-125*SIN(S79)-110*SIN(Q79+R79)+148*SIN(Q79-R79)-55*SIN(2*T79-2*S79)</f>
        <v>19538.4753443767</v>
      </c>
      <c r="Q79" s="18" t="n">
        <f aca="false">2*PI()*(0.374897+1325.55241*M79 - INT(0.374897+1325.55241*M79))</f>
        <v>1.59186987335377</v>
      </c>
      <c r="R79" s="26" t="n">
        <f aca="false">2*PI()*(0.99312619+99.99735956*M79 - 0.00000044*M79^2 - INT(0.99312619+99.99735956*M79- 0.00000044*M79^2))</f>
        <v>4.81486721602876</v>
      </c>
      <c r="S79" s="26" t="n">
        <f aca="false">2*PI()*(0.827361+1236.853086*M79 - INT(0.827361+1236.853086*M79))</f>
        <v>3.1769327125451</v>
      </c>
      <c r="T79" s="26" t="n">
        <f aca="false">2*PI()*(0.259086+1342.227825*M79 - INT(0.259086+1342.227825*M79))</f>
        <v>5.87582210152838</v>
      </c>
      <c r="U79" s="26" t="n">
        <f aca="false">T79+(P79+412*SIN(2*T79)+541*SIN(R79))/206264.8062</f>
        <v>5.96648501350182</v>
      </c>
      <c r="V79" s="26" t="n">
        <f aca="false">T79-2*S79</f>
        <v>-0.478043323561819</v>
      </c>
      <c r="W79" s="25" t="n">
        <f aca="false">-526*SIN(V79)+44*SIN(Q79+V79)-31*SIN(-Q79+V79)-23*SIN(R79+V79)+11*SIN(-R79+V79)-25*SIN(-2*Q79+T79)+21*SIN(-Q79+T79)</f>
        <v>309.315770062782</v>
      </c>
      <c r="X79" s="26" t="n">
        <f aca="false">2*PI()*(O79+P79/1296000-INT(O79+P79/1296000))</f>
        <v>0.465240476871039</v>
      </c>
      <c r="Y79" s="26" t="n">
        <f aca="false">(18520*SIN(U79)+W79)/206264.8062</f>
        <v>-0.026463152457817</v>
      </c>
      <c r="Z79" s="26" t="n">
        <f aca="false">Y79*180/PI()</f>
        <v>-1.51622694844417</v>
      </c>
      <c r="AA79" s="26" t="n">
        <f aca="false">COS(Y79)*COS(X79)</f>
        <v>0.893400789557271</v>
      </c>
      <c r="AB79" s="26" t="n">
        <f aca="false">COS(Y79)*SIN(X79)</f>
        <v>0.448480650906826</v>
      </c>
      <c r="AC79" s="26" t="n">
        <f aca="false">SIN(Y79)</f>
        <v>-0.0264600638819101</v>
      </c>
      <c r="AD79" s="26" t="n">
        <f aca="false">COS($A$4*(23.4393-46.815*M79/3600))*AB79-SIN($A$4*(23.4393-46.815*M79/3600))*AC79</f>
        <v>0.422006103065816</v>
      </c>
      <c r="AE79" s="26" t="n">
        <f aca="false">SIN($A$4*(23.4393-46.815*M79/3600))*AB79+COS($A$4*(23.4393-46.815*M79/3600))*AC79</f>
        <v>0.154096976588281</v>
      </c>
      <c r="AF79" s="26" t="n">
        <f aca="false">SQRT(1-AE79*AE79)</f>
        <v>0.988055728087415</v>
      </c>
      <c r="AG79" s="10" t="n">
        <f aca="false">ATAN(AE79/AF79)/$A$4</f>
        <v>8.86442762238953</v>
      </c>
      <c r="AH79" s="26" t="n">
        <f aca="false">IF(24*ATAN(AD79/(AA79+AF79))/PI()&gt;0,24*ATAN(AD79/(AA79+AF79))/PI(),24*ATAN(AD79/(AA79+AF79))/PI()+24)</f>
        <v>1.68560934875754</v>
      </c>
      <c r="AI79" s="10" t="n">
        <f aca="false">IF(N79-15*AH79&gt;0,N79-15*AH79,360+N79-15*AH79)</f>
        <v>218.914496978935</v>
      </c>
      <c r="AJ79" s="18" t="n">
        <f aca="false">0.950724+0.051818*COS(Q79)+0.009531*COS(2*S79-Q79)+0.007843*COS(2*S79)+0.002824*COS(2*Q79)+0.000857*COS(2*S79+Q79)+0.000533*COS(2*S79-R79)+0.000401*COS(2*S79-R79-Q79)+0.00032*COS(Q79-R79)-0.000271*COS(S79)</f>
        <v>0.955397376667925</v>
      </c>
      <c r="AK79" s="50" t="n">
        <f aca="false">ASIN(COS($A$4*$G$2)*COS($A$4*AG79)*COS($A$4*AI79)+SIN($A$4*$G$2)*SIN($A$4*AG79))/$A$4</f>
        <v>-50.1644268836791</v>
      </c>
      <c r="AL79" s="18" t="n">
        <f aca="false">ASIN((0.9983271+0.0016764*COS($A$4*2*$G$2))*COS($A$4*AK79)*SIN($A$4*AJ79))/$A$4</f>
        <v>0.611686876605813</v>
      </c>
      <c r="AM79" s="18" t="n">
        <f aca="false">AK79-AL79</f>
        <v>-50.7761137602849</v>
      </c>
      <c r="AN79" s="10" t="n">
        <f aca="false"> IF(280.4664567 + 360007.6982779*M79/10 + 0.03032028*M79^2/100 + M79^3/49931000&lt;0,MOD(280.4664567 + 360007.6982779*M79/10 + 0.03032028*M79^2/100 + M79^3/49931000+360,360),MOD(280.4664567 + 360007.6982779*M79/10 + 0.03032028*M79^2/100 + M79^3/49931000,360))</f>
        <v>199.204419688833</v>
      </c>
      <c r="AO79" s="27" t="n">
        <f aca="false"> AN79 + (1.9146 - 0.004817*M79 - 0.000014*M79^2)*SIN(R79)+ (0.019993 - 0.000101*M79)*SIN(2*R79)+ 0.00029*SIN(3*R79)</f>
        <v>197.297168254349</v>
      </c>
      <c r="AP79" s="18" t="n">
        <f aca="false">ACOS(COS(X79-$A$4*AO79)*COS(Y79))/$A$4</f>
        <v>170.519910233337</v>
      </c>
      <c r="AQ79" s="25" t="n">
        <f aca="false">180 - AP79 -0.1468*(1-0.0549*SIN(R79))*SIN($A$4*AP79)/(1-0.0167*SIN($A$4*AO79))</f>
        <v>9.45471663468901</v>
      </c>
      <c r="AR79" s="25" t="n">
        <f aca="false">SIN($A$4*AI79)</f>
        <v>-0.628159948638759</v>
      </c>
      <c r="AS79" s="25" t="n">
        <f aca="false">COS($A$4*AI79)*SIN($A$4*$G$2) - TAN($A$4*AG79)*COS($A$4*$G$2)</f>
        <v>0.160459976250525</v>
      </c>
      <c r="AT79" s="25" t="n">
        <f aca="false">IF(OR(AND(AR79*AS79&gt;0), AND(AR79&lt;0,AS79&gt;0)), MOD(ATAN2(AS79,AR79)/$A$4+360,360),  ATAN2(AS79,AR79)/$A$4)</f>
        <v>284.329459953726</v>
      </c>
      <c r="AU79" s="29" t="n">
        <f aca="false">(1+SIN($A$4*H79)*SIN($A$4*AJ79))*120*ASIN(0.272481*SIN($A$4*AJ79))/$A$4</f>
        <v>30.8344724713171</v>
      </c>
      <c r="AV79" s="10" t="n">
        <f aca="false">COS(X79)</f>
        <v>0.893713704451106</v>
      </c>
      <c r="AW79" s="10" t="n">
        <f aca="false">SIN(X79)</f>
        <v>0.448637731890978</v>
      </c>
      <c r="AX79" s="30" t="n">
        <f aca="false"> 385000.56 + (-20905355*COS(Q79) - 3699111*COS(2*S79-Q79) - 2955968*COS(2*S79) - 569925*COS(2*Q79) + (1-0.002516*M79)*48888*COS(R79) - 3149*COS(2*T79)  +246158*COS(2*S79-2*Q79) -(1-0.002516*M79)*152138*COS(2*S79-R79-Q79) -170733*COS(2*S79+Q79) -(1-0.002516*M79)*204586*COS(2*S79-R79) -(1-0.002516*M79)*129620*COS(R79-Q79)  + 108743*COS(S79) +(1-0.002516*M79)*104755*COS(R79+Q79) +10321*COS(2*S79-2*T79) +79661*COS(Q79-2*T79) -34782*COS(4*S79-Q79) -23210*COS(3*Q79)  -21636*COS(4*S79-2*Q79) +(1-0.002516*M79)*24208*COS(2*S79+R79-Q79) +(1-0.002516*M79)*30824*COS(2*S79+R79) -8379*COS(S79-Q79) -(1-0.002516*M79)*16675*COS(S79+R79)  -(1-0.002516*M79)*12831*COS(2*S79-R79+Q79) -10445*COS(2*S79+2*Q79) -11650*COS(4*S79) +14403*COS(2*S79-3*Q79) -(1-0.002516*M79)*7003*COS(R79-2*Q79)  + (1-0.002516*M79)*10056*COS(2*S79-R79-2*Q79) +6322*COS(S79+Q79) -(1-0.002516*M79)*(1-0.002516*M79)*9884*COS(2*S79-2*R79) +(1-0.002516*M79)*5751*COS(R79+2*Q79) -(1-0.002516*M79)*(1-0.002516*M79)*4950*COS(2*S79-2*R79-Q79)  +4130*COS(2*S79+Q79-2*T79) -(1-0.002516*M79)*3958*COS(4*S79-R79-Q79) +3258*COS(3*S79-Q79) +(1-0.002516*M79)*2616*COS(2*S79+R79+Q79) -(1-0.002516*M79)*1897*COS(4*S79-R79-2*Q79)  -(1-0.002516*M79)*(1-0.002516*M79)*2117*COS(2*R79-Q79) +(1-0.002516*M79)*(1-0.002516*M79)*2354*COS(2*S79+2*R79-Q79) -1423*COS(4*S79+Q79) -1117*COS(4*Q79) -(1-0.002516*M79)*1571*COS(4*S79-R79)  -1739*COS(S79-2*Q79) -4421*COS(2*Q79-2*T79) +(1-0.002516*M79)*(1-0.002516*M79)*1165*COS(2*R79+Q79) +8752*COS(2*S79-Q79-2*T79))/1000</f>
        <v>382585.957670838</v>
      </c>
      <c r="AY79" s="10" t="n">
        <f aca="false">AY78+1/8</f>
        <v>10.625</v>
      </c>
      <c r="AZ79" s="17" t="n">
        <f aca="false">AZ78+1</f>
        <v>78</v>
      </c>
      <c r="BA79" s="32" t="n">
        <f aca="false">ATAN(0.99664719*TAN($A$4*input!$E$2))</f>
        <v>-0.400219206115995</v>
      </c>
      <c r="BB79" s="32" t="n">
        <f aca="false">COS(BA79)</f>
        <v>0.920975608992155</v>
      </c>
      <c r="BC79" s="32" t="n">
        <f aca="false">0.99664719*SIN(BA79)</f>
        <v>-0.388313912533463</v>
      </c>
      <c r="BD79" s="32" t="n">
        <f aca="false">6378.14/AX79</f>
        <v>0.0166711293818251</v>
      </c>
      <c r="BE79" s="33" t="n">
        <f aca="false">MOD(N79-15*AH79,360)</f>
        <v>218.914496978935</v>
      </c>
      <c r="BF79" s="27" t="n">
        <f aca="false">COS($A$4*AG79)*SIN($A$4*BE79)</f>
        <v>-0.620657035407622</v>
      </c>
      <c r="BG79" s="27" t="n">
        <f aca="false">COS($A$4*AG79)*COS($A$4*BE79)-BB79*BD79</f>
        <v>-0.784144290239464</v>
      </c>
      <c r="BH79" s="27" t="n">
        <f aca="false">SIN($A$4*AG79)-BC79*BD79</f>
        <v>0.160570608064889</v>
      </c>
      <c r="BI79" s="46" t="n">
        <f aca="false">SQRT(BF79^2+BG79^2+BH79^2)</f>
        <v>1.01285751401195</v>
      </c>
      <c r="BJ79" s="35" t="n">
        <f aca="false">AX79*BI79</f>
        <v>387505.061982364</v>
      </c>
    </row>
    <row r="80" customFormat="false" ht="15" hidden="false" customHeight="false" outlineLevel="0" collapsed="false">
      <c r="A80" s="0"/>
      <c r="B80" s="20"/>
      <c r="C80" s="15" t="n">
        <f aca="false">MOD(C79+3,24)</f>
        <v>18</v>
      </c>
      <c r="D80" s="17" t="n">
        <v>10</v>
      </c>
      <c r="E80" s="102" t="n">
        <f aca="false">input!$C$2</f>
        <v>10</v>
      </c>
      <c r="F80" s="102" t="n">
        <f aca="false">input!$D$2</f>
        <v>2022</v>
      </c>
      <c r="G80" s="0"/>
      <c r="H80" s="39" t="n">
        <f aca="false">AM80</f>
        <v>-11.4981717255659</v>
      </c>
      <c r="I80" s="48" t="n">
        <f aca="false">H80+1.02/(TAN($A$4*(H80+10.3/(H80+5.11)))*60)</f>
        <v>-11.5711641218771</v>
      </c>
      <c r="J80" s="39" t="n">
        <f aca="false">100*(1+COS($A$4*AQ80))/2</f>
        <v>99.0894125602276</v>
      </c>
      <c r="K80" s="48" t="n">
        <f aca="false">IF(AI80&gt;180,AT80-180,AT80+180)</f>
        <v>83.9703674114495</v>
      </c>
      <c r="L80" s="10" t="n">
        <f aca="false">L79+1/8</f>
        <v>2459863.25</v>
      </c>
      <c r="M80" s="49" t="n">
        <f aca="false">(L80-2451545)/36525</f>
        <v>0.227741273100616</v>
      </c>
      <c r="N80" s="15" t="n">
        <f aca="false">MOD(280.46061837+360.98564736629*(L80-2451545)+0.000387933*M80^2-M80^3/38710000+$G$4,360)</f>
        <v>289.321843132377</v>
      </c>
      <c r="O80" s="18" t="n">
        <f aca="false">0.60643382+1336.85522467*M80 - 0.00000313*M80^2 - INT(0.60643382+1336.85522467*M80 - 0.00000313*M80^2)</f>
        <v>0.0635444752149965</v>
      </c>
      <c r="P80" s="15" t="n">
        <f aca="false">22640*SIN(Q80)-4586*SIN(Q80-2*S80)+2370*SIN(2*S80)+769*SIN(2*Q80)-668*SIN(R80)-412*SIN(2*T80)-212*SIN(2*Q80-2*S80)-206*SIN(Q80+R80-2*S80)+192*SIN(Q80+2*S80)-165*SIN(R80-2*S80)-125*SIN(S80)-110*SIN(Q80+R80)+148*SIN(Q80-R80)-55*SIN(2*T80-2*S80)</f>
        <v>19586.8300606718</v>
      </c>
      <c r="Q80" s="18" t="n">
        <f aca="false">2*PI()*(0.374897+1325.55241*M80 - INT(0.374897+1325.55241*M80))</f>
        <v>1.62037326632557</v>
      </c>
      <c r="R80" s="26" t="n">
        <f aca="false">2*PI()*(0.99312619+99.99735956*M80 - 0.00000044*M80^2 - INT(0.99312619+99.99735956*M80- 0.00000044*M80^2))</f>
        <v>4.81701746222684</v>
      </c>
      <c r="S80" s="26" t="n">
        <f aca="false">2*PI()*(0.827361+1236.853086*M80 - INT(0.827361+1236.853086*M80))</f>
        <v>3.20352880130967</v>
      </c>
      <c r="T80" s="26" t="n">
        <f aca="false">2*PI()*(0.259086+1342.227825*M80 - INT(0.259086+1342.227825*M80))</f>
        <v>5.90468406644614</v>
      </c>
      <c r="U80" s="26" t="n">
        <f aca="false">T80+(P80+412*SIN(2*T80)+541*SIN(R80))/206264.8062</f>
        <v>5.99566347149555</v>
      </c>
      <c r="V80" s="26" t="n">
        <f aca="false">T80-2*S80</f>
        <v>-0.50237353617319</v>
      </c>
      <c r="W80" s="25" t="n">
        <f aca="false">-526*SIN(V80)+44*SIN(Q80+V80)-31*SIN(-Q80+V80)-23*SIN(R80+V80)+11*SIN(-R80+V80)-25*SIN(-2*Q80+T80)+21*SIN(-Q80+T80)</f>
        <v>318.87737235936</v>
      </c>
      <c r="X80" s="26" t="n">
        <f aca="false">2*PI()*(O80+P80/1296000-INT(O80+P80/1296000))</f>
        <v>0.494221344853116</v>
      </c>
      <c r="Y80" s="26" t="n">
        <f aca="false">(18520*SIN(U80)+W80)/206264.8062</f>
        <v>-0.0239156767953726</v>
      </c>
      <c r="Z80" s="26" t="n">
        <f aca="false">Y80*180/PI()</f>
        <v>-1.37026734457381</v>
      </c>
      <c r="AA80" s="26" t="n">
        <f aca="false">COS(Y80)*COS(X80)</f>
        <v>0.880086581896549</v>
      </c>
      <c r="AB80" s="26" t="n">
        <f aca="false">COS(Y80)*SIN(X80)</f>
        <v>0.474210668170466</v>
      </c>
      <c r="AC80" s="26" t="n">
        <f aca="false">SIN(Y80)</f>
        <v>-0.0239133970604275</v>
      </c>
      <c r="AD80" s="26" t="n">
        <f aca="false">COS($A$4*(23.4393-46.815*M80/3600))*AB80-SIN($A$4*(23.4393-46.815*M80/3600))*AC80</f>
        <v>0.444600574420895</v>
      </c>
      <c r="AE80" s="26" t="n">
        <f aca="false">SIN($A$4*(23.4393-46.815*M80/3600))*AB80+COS($A$4*(23.4393-46.815*M80/3600))*AC80</f>
        <v>0.166667146103424</v>
      </c>
      <c r="AF80" s="26" t="n">
        <f aca="false">SQRT(1-AE80*AE80)</f>
        <v>0.986013216143546</v>
      </c>
      <c r="AG80" s="10" t="n">
        <f aca="false">ATAN(AE80/AF80)/$A$4</f>
        <v>9.59409608622499</v>
      </c>
      <c r="AH80" s="26" t="n">
        <f aca="false">IF(24*ATAN(AD80/(AA80+AF80))/PI()&gt;0,24*ATAN(AD80/(AA80+AF80))/PI(),24*ATAN(AD80/(AA80+AF80))/PI()+24)</f>
        <v>1.7867940946636</v>
      </c>
      <c r="AI80" s="10" t="n">
        <f aca="false">IF(N80-15*AH80&gt;0,N80-15*AH80,360+N80-15*AH80)</f>
        <v>262.519931712423</v>
      </c>
      <c r="AJ80" s="18" t="n">
        <f aca="false">0.950724+0.051818*COS(Q80)+0.009531*COS(2*S80-Q80)+0.007843*COS(2*S80)+0.002824*COS(2*Q80)+0.000857*COS(2*S80+Q80)+0.000533*COS(2*S80-R80)+0.000401*COS(2*S80-R80-Q80)+0.00032*COS(Q80-R80)-0.000271*COS(S80)</f>
        <v>0.954029929505766</v>
      </c>
      <c r="AK80" s="50" t="n">
        <f aca="false">ASIN(COS($A$4*$G$2)*COS($A$4*AG80)*COS($A$4*AI80)+SIN($A$4*$G$2)*SIN($A$4*AG80))/$A$4</f>
        <v>-10.5607803618971</v>
      </c>
      <c r="AL80" s="18" t="n">
        <f aca="false">ASIN((0.9983271+0.0016764*COS($A$4*2*$G$2))*COS($A$4*AK80)*SIN($A$4*AJ80))/$A$4</f>
        <v>0.937391363668816</v>
      </c>
      <c r="AM80" s="18" t="n">
        <f aca="false">AK80-AL80</f>
        <v>-11.4981717255659</v>
      </c>
      <c r="AN80" s="10" t="n">
        <f aca="false"> IF(280.4664567 + 360007.6982779*M80/10 + 0.03032028*M80^2/100 + M80^3/49931000&lt;0,MOD(280.4664567 + 360007.6982779*M80/10 + 0.03032028*M80^2/100 + M80^3/49931000+360,360),MOD(280.4664567 + 360007.6982779*M80/10 + 0.03032028*M80^2/100 + M80^3/49931000,360))</f>
        <v>199.32762560932</v>
      </c>
      <c r="AO80" s="27" t="n">
        <f aca="false"> AN80 + (1.9146 - 0.004817*M80 - 0.000014*M80^2)*SIN(R80)+ (0.019993 - 0.000101*M80)*SIN(2*R80)+ 0.00029*SIN(3*R80)</f>
        <v>197.420714883227</v>
      </c>
      <c r="AP80" s="18" t="n">
        <f aca="false">ACOS(COS(X80-$A$4*AO80)*COS(Y80))/$A$4</f>
        <v>169.019127916259</v>
      </c>
      <c r="AQ80" s="25" t="n">
        <f aca="false">180 - AP80 -0.1468*(1-0.0549*SIN(R80))*SIN($A$4*AP80)/(1-0.0167*SIN($A$4*AO80))</f>
        <v>10.951529384292</v>
      </c>
      <c r="AR80" s="25" t="n">
        <f aca="false">SIN($A$4*AI80)</f>
        <v>-0.991490208051938</v>
      </c>
      <c r="AS80" s="25" t="n">
        <f aca="false">COS($A$4*AI80)*SIN($A$4*$G$2) - TAN($A$4*AG80)*COS($A$4*$G$2)</f>
        <v>-0.104728298095166</v>
      </c>
      <c r="AT80" s="25" t="n">
        <f aca="false">IF(OR(AND(AR80*AS80&gt;0), AND(AR80&lt;0,AS80&gt;0)), MOD(ATAN2(AS80,AR80)/$A$4+360,360),  ATAN2(AS80,AR80)/$A$4)</f>
        <v>263.97036741145</v>
      </c>
      <c r="AU80" s="29" t="n">
        <f aca="false">(1+SIN($A$4*H80)*SIN($A$4*AJ80))*120*ASIN(0.272481*SIN($A$4*AJ80))/$A$4</f>
        <v>31.0897387841343</v>
      </c>
      <c r="AV80" s="10" t="n">
        <f aca="false">COS(X80)</f>
        <v>0.880338328874833</v>
      </c>
      <c r="AW80" s="10" t="n">
        <f aca="false">SIN(X80)</f>
        <v>0.474346315168429</v>
      </c>
      <c r="AX80" s="30" t="n">
        <f aca="false"> 385000.56 + (-20905355*COS(Q80) - 3699111*COS(2*S80-Q80) - 2955968*COS(2*S80) - 569925*COS(2*Q80) + (1-0.002516*M80)*48888*COS(R80) - 3149*COS(2*T80)  +246158*COS(2*S80-2*Q80) -(1-0.002516*M80)*152138*COS(2*S80-R80-Q80) -170733*COS(2*S80+Q80) -(1-0.002516*M80)*204586*COS(2*S80-R80) -(1-0.002516*M80)*129620*COS(R80-Q80)  + 108743*COS(S80) +(1-0.002516*M80)*104755*COS(R80+Q80) +10321*COS(2*S80-2*T80) +79661*COS(Q80-2*T80) -34782*COS(4*S80-Q80) -23210*COS(3*Q80)  -21636*COS(4*S80-2*Q80) +(1-0.002516*M80)*24208*COS(2*S80+R80-Q80) +(1-0.002516*M80)*30824*COS(2*S80+R80) -8379*COS(S80-Q80) -(1-0.002516*M80)*16675*COS(S80+R80)  -(1-0.002516*M80)*12831*COS(2*S80-R80+Q80) -10445*COS(2*S80+2*Q80) -11650*COS(4*S80) +14403*COS(2*S80-3*Q80) -(1-0.002516*M80)*7003*COS(R80-2*Q80)  + (1-0.002516*M80)*10056*COS(2*S80-R80-2*Q80) +6322*COS(S80+Q80) -(1-0.002516*M80)*(1-0.002516*M80)*9884*COS(2*S80-2*R80) +(1-0.002516*M80)*5751*COS(R80+2*Q80) -(1-0.002516*M80)*(1-0.002516*M80)*4950*COS(2*S80-2*R80-Q80)  +4130*COS(2*S80+Q80-2*T80) -(1-0.002516*M80)*3958*COS(4*S80-R80-Q80) +3258*COS(3*S80-Q80) +(1-0.002516*M80)*2616*COS(2*S80+R80+Q80) -(1-0.002516*M80)*1897*COS(4*S80-R80-2*Q80)  -(1-0.002516*M80)*(1-0.002516*M80)*2117*COS(2*R80-Q80) +(1-0.002516*M80)*(1-0.002516*M80)*2354*COS(2*S80+2*R80-Q80) -1423*COS(4*S80+Q80) -1117*COS(4*Q80) -(1-0.002516*M80)*1571*COS(4*S80-R80)  -1739*COS(S80-2*Q80) -4421*COS(2*Q80-2*T80) +(1-0.002516*M80)*(1-0.002516*M80)*1165*COS(2*R80+Q80) +8752*COS(2*S80-Q80-2*T80))/1000</f>
        <v>383126.293936152</v>
      </c>
      <c r="AY80" s="10" t="n">
        <f aca="false">AY79+1/8</f>
        <v>10.75</v>
      </c>
      <c r="AZ80" s="17" t="n">
        <f aca="false">AZ79+1</f>
        <v>79</v>
      </c>
      <c r="BA80" s="32" t="n">
        <f aca="false">ATAN(0.99664719*TAN($A$4*input!$E$2))</f>
        <v>-0.400219206115995</v>
      </c>
      <c r="BB80" s="32" t="n">
        <f aca="false">COS(BA80)</f>
        <v>0.920975608992155</v>
      </c>
      <c r="BC80" s="32" t="n">
        <f aca="false">0.99664719*SIN(BA80)</f>
        <v>-0.388313912533463</v>
      </c>
      <c r="BD80" s="32" t="n">
        <f aca="false">6378.14/AX80</f>
        <v>0.0166476175113758</v>
      </c>
      <c r="BE80" s="33" t="n">
        <f aca="false">MOD(N80-15*AH80,360)</f>
        <v>262.519931712423</v>
      </c>
      <c r="BF80" s="27" t="n">
        <f aca="false">COS($A$4*AG80)*SIN($A$4*BE80)</f>
        <v>-0.977622448816126</v>
      </c>
      <c r="BG80" s="27" t="n">
        <f aca="false">COS($A$4*AG80)*COS($A$4*BE80)-BB80*BD80</f>
        <v>-0.143692518592456</v>
      </c>
      <c r="BH80" s="27" t="n">
        <f aca="false">SIN($A$4*AG80)-BC80*BD80</f>
        <v>0.173131647593627</v>
      </c>
      <c r="BI80" s="46" t="n">
        <f aca="false">SQRT(BF80^2+BG80^2+BH80^2)</f>
        <v>1.00317882739179</v>
      </c>
      <c r="BJ80" s="35" t="n">
        <f aca="false">AX80*BI80</f>
        <v>384344.186293831</v>
      </c>
    </row>
    <row r="81" customFormat="false" ht="15" hidden="false" customHeight="false" outlineLevel="0" collapsed="false">
      <c r="A81" s="0"/>
      <c r="B81" s="20"/>
      <c r="C81" s="15" t="n">
        <f aca="false">MOD(C80+3,24)</f>
        <v>21</v>
      </c>
      <c r="D81" s="17" t="n">
        <v>10</v>
      </c>
      <c r="E81" s="102" t="n">
        <f aca="false">input!$C$2</f>
        <v>10</v>
      </c>
      <c r="F81" s="102" t="n">
        <f aca="false">input!$D$2</f>
        <v>2022</v>
      </c>
      <c r="G81" s="0"/>
      <c r="H81" s="39" t="n">
        <f aca="false">AM81</f>
        <v>26.7973915009903</v>
      </c>
      <c r="I81" s="48" t="n">
        <f aca="false">H81+1.02/(TAN($A$4*(H81+10.3/(H81+5.11)))*60)</f>
        <v>26.8305835515339</v>
      </c>
      <c r="J81" s="39" t="n">
        <f aca="false">100*(1+COS($A$4*AQ81))/2</f>
        <v>98.8235434538401</v>
      </c>
      <c r="K81" s="48" t="n">
        <f aca="false">IF(AI81&gt;180,AT81-180,AT81+180)</f>
        <v>63.7761225312182</v>
      </c>
      <c r="L81" s="10" t="n">
        <f aca="false">L80+1/8</f>
        <v>2459863.375</v>
      </c>
      <c r="M81" s="49" t="n">
        <f aca="false">(L81-2451545)/36525</f>
        <v>0.2277446954141</v>
      </c>
      <c r="N81" s="15" t="n">
        <f aca="false">MOD(280.46061837+360.98564736629*(L81-2451545)+0.000387933*M81^2-M81^3/38710000+$G$4,360)</f>
        <v>334.445049053524</v>
      </c>
      <c r="O81" s="18" t="n">
        <f aca="false">0.60643382+1336.85522467*M81 - 0.00000313*M81^2 - INT(0.60643382+1336.85522467*M81 - 0.00000313*M81^2)</f>
        <v>0.0681196128715556</v>
      </c>
      <c r="P81" s="15" t="n">
        <f aca="false">22640*SIN(Q81)-4586*SIN(Q81-2*S81)+2370*SIN(2*S81)+769*SIN(2*Q81)-668*SIN(R81)-412*SIN(2*T81)-212*SIN(2*Q81-2*S81)-206*SIN(Q81+R81-2*S81)+192*SIN(Q81+2*S81)-165*SIN(R81-2*S81)-125*SIN(S81)-110*SIN(Q81+R81)+148*SIN(Q81-R81)-55*SIN(2*T81-2*S81)</f>
        <v>19616.3917085423</v>
      </c>
      <c r="Q81" s="18" t="n">
        <f aca="false">2*PI()*(0.374897+1325.55241*M81 - INT(0.374897+1325.55241*M81))</f>
        <v>1.64887665929772</v>
      </c>
      <c r="R81" s="26" t="n">
        <f aca="false">2*PI()*(0.99312619+99.99735956*M81 - 0.00000044*M81^2 - INT(0.99312619+99.99735956*M81- 0.00000044*M81^2))</f>
        <v>4.81916770842492</v>
      </c>
      <c r="S81" s="26" t="n">
        <f aca="false">2*PI()*(0.827361+1236.853086*M81 - INT(0.827361+1236.853086*M81))</f>
        <v>3.23012489007459</v>
      </c>
      <c r="T81" s="26" t="n">
        <f aca="false">2*PI()*(0.259086+1342.227825*M81 - INT(0.259086+1342.227825*M81))</f>
        <v>5.93354603136354</v>
      </c>
      <c r="U81" s="26" t="n">
        <f aca="false">T81+(P81+412*SIN(2*T81)+541*SIN(R81))/206264.8062</f>
        <v>6.02475539958267</v>
      </c>
      <c r="V81" s="26" t="n">
        <f aca="false">T81-2*S81</f>
        <v>-0.526703748785634</v>
      </c>
      <c r="W81" s="25" t="n">
        <f aca="false">-526*SIN(V81)+44*SIN(Q81+V81)-31*SIN(-Q81+V81)-23*SIN(R81+V81)+11*SIN(-R81+V81)-25*SIN(-2*Q81+T81)+21*SIN(-Q81+T81)</f>
        <v>328.207038881416</v>
      </c>
      <c r="X81" s="26" t="n">
        <f aca="false">2*PI()*(O81+P81/1296000-INT(O81+P81/1296000))</f>
        <v>0.523111101468369</v>
      </c>
      <c r="Y81" s="26" t="n">
        <f aca="false">(18520*SIN(U81)+W81)/206264.8062</f>
        <v>-0.0213551609261982</v>
      </c>
      <c r="Z81" s="26" t="n">
        <f aca="false">Y81*180/PI()</f>
        <v>-1.22356059189385</v>
      </c>
      <c r="AA81" s="26" t="n">
        <f aca="false">COS(Y81)*COS(X81)</f>
        <v>0.866071617420573</v>
      </c>
      <c r="AB81" s="26" t="n">
        <f aca="false">COS(Y81)*SIN(X81)</f>
        <v>0.499463692295201</v>
      </c>
      <c r="AC81" s="26" t="n">
        <f aca="false">SIN(Y81)</f>
        <v>-0.0213535378182957</v>
      </c>
      <c r="AD81" s="26" t="n">
        <f aca="false">COS($A$4*(23.4393-46.815*M81/3600))*AB81-SIN($A$4*(23.4393-46.815*M81/3600))*AC81</f>
        <v>0.466752156349513</v>
      </c>
      <c r="AE81" s="26" t="n">
        <f aca="false">SIN($A$4*(23.4393-46.815*M81/3600))*AB81+COS($A$4*(23.4393-46.815*M81/3600))*AC81</f>
        <v>0.179059705242671</v>
      </c>
      <c r="AF81" s="26" t="n">
        <f aca="false">SQRT(1-AE81*AE81)</f>
        <v>0.983838209238901</v>
      </c>
      <c r="AG81" s="10" t="n">
        <f aca="false">ATAN(AE81/AF81)/$A$4</f>
        <v>10.3149950938899</v>
      </c>
      <c r="AH81" s="26" t="n">
        <f aca="false">IF(24*ATAN(AD81/(AA81+AF81))/PI()&gt;0,24*ATAN(AD81/(AA81+AF81))/PI(),24*ATAN(AD81/(AA81+AF81))/PI()+24)</f>
        <v>1.88810458216956</v>
      </c>
      <c r="AI81" s="10" t="n">
        <f aca="false">IF(N81-15*AH81&gt;0,N81-15*AH81,360+N81-15*AH81)</f>
        <v>306.12348032098</v>
      </c>
      <c r="AJ81" s="18" t="n">
        <f aca="false">0.950724+0.051818*COS(Q81)+0.009531*COS(2*S81-Q81)+0.007843*COS(2*S81)+0.002824*COS(2*Q81)+0.000857*COS(2*S81+Q81)+0.000533*COS(2*S81-R81)+0.000401*COS(2*S81-R81-Q81)+0.00032*COS(Q81-R81)-0.000271*COS(S81)</f>
        <v>0.952652091551632</v>
      </c>
      <c r="AK81" s="50" t="n">
        <f aca="false">ASIN(COS($A$4*$G$2)*COS($A$4*AG81)*COS($A$4*AI81)+SIN($A$4*$G$2)*SIN($A$4*AG81))/$A$4</f>
        <v>27.6408826245172</v>
      </c>
      <c r="AL81" s="18" t="n">
        <f aca="false">ASIN((0.9983271+0.0016764*COS($A$4*2*$G$2))*COS($A$4*AK81)*SIN($A$4*AJ81))/$A$4</f>
        <v>0.843491123526911</v>
      </c>
      <c r="AM81" s="18" t="n">
        <f aca="false">AK81-AL81</f>
        <v>26.7973915009903</v>
      </c>
      <c r="AN81" s="10" t="n">
        <f aca="false"> IF(280.4664567 + 360007.6982779*M81/10 + 0.03032028*M81^2/100 + M81^3/49931000&lt;0,MOD(280.4664567 + 360007.6982779*M81/10 + 0.03032028*M81^2/100 + M81^3/49931000+360,360),MOD(280.4664567 + 360007.6982779*M81/10 + 0.03032028*M81^2/100 + M81^3/49931000,360))</f>
        <v>199.450831529803</v>
      </c>
      <c r="AO81" s="27" t="n">
        <f aca="false"> AN81 + (1.9146 - 0.004817*M81 - 0.000014*M81^2)*SIN(R81)+ (0.019993 - 0.000101*M81)*SIN(2*R81)+ 0.00029*SIN(3*R81)</f>
        <v>197.544270376147</v>
      </c>
      <c r="AP81" s="18" t="n">
        <f aca="false">ACOS(COS(X81-$A$4*AO81)*COS(Y81))/$A$4</f>
        <v>167.51306840387</v>
      </c>
      <c r="AQ81" s="25" t="n">
        <f aca="false">180 - AP81 -0.1468*(1-0.0549*SIN(R81))*SIN($A$4*AP81)/(1-0.0167*SIN($A$4*AO81))</f>
        <v>12.4536259778337</v>
      </c>
      <c r="AR81" s="25" t="n">
        <f aca="false">SIN($A$4*AI81)</f>
        <v>-0.807748358139232</v>
      </c>
      <c r="AS81" s="25" t="n">
        <f aca="false">COS($A$4*AI81)*SIN($A$4*$G$2) - TAN($A$4*AG81)*COS($A$4*$G$2)</f>
        <v>-0.397879678119459</v>
      </c>
      <c r="AT81" s="25" t="n">
        <f aca="false">IF(OR(AND(AR81*AS81&gt;0), AND(AR81&lt;0,AS81&gt;0)), MOD(ATAN2(AS81,AR81)/$A$4+360,360),  ATAN2(AS81,AR81)/$A$4)</f>
        <v>243.776122531218</v>
      </c>
      <c r="AU81" s="29" t="n">
        <f aca="false">(1+SIN($A$4*H81)*SIN($A$4*AJ81))*120*ASIN(0.272481*SIN($A$4*AJ81))/$A$4</f>
        <v>31.3816998406193</v>
      </c>
      <c r="AV81" s="10" t="n">
        <f aca="false">COS(X81)</f>
        <v>0.866269137858037</v>
      </c>
      <c r="AW81" s="10" t="n">
        <f aca="false">SIN(X81)</f>
        <v>0.49957760237494</v>
      </c>
      <c r="AX81" s="30" t="n">
        <f aca="false"> 385000.56 + (-20905355*COS(Q81) - 3699111*COS(2*S81-Q81) - 2955968*COS(2*S81) - 569925*COS(2*Q81) + (1-0.002516*M81)*48888*COS(R81) - 3149*COS(2*T81)  +246158*COS(2*S81-2*Q81) -(1-0.002516*M81)*152138*COS(2*S81-R81-Q81) -170733*COS(2*S81+Q81) -(1-0.002516*M81)*204586*COS(2*S81-R81) -(1-0.002516*M81)*129620*COS(R81-Q81)  + 108743*COS(S81) +(1-0.002516*M81)*104755*COS(R81+Q81) +10321*COS(2*S81-2*T81) +79661*COS(Q81-2*T81) -34782*COS(4*S81-Q81) -23210*COS(3*Q81)  -21636*COS(4*S81-2*Q81) +(1-0.002516*M81)*24208*COS(2*S81+R81-Q81) +(1-0.002516*M81)*30824*COS(2*S81+R81) -8379*COS(S81-Q81) -(1-0.002516*M81)*16675*COS(S81+R81)  -(1-0.002516*M81)*12831*COS(2*S81-R81+Q81) -10445*COS(2*S81+2*Q81) -11650*COS(4*S81) +14403*COS(2*S81-3*Q81) -(1-0.002516*M81)*7003*COS(R81-2*Q81)  + (1-0.002516*M81)*10056*COS(2*S81-R81-2*Q81) +6322*COS(S81+Q81) -(1-0.002516*M81)*(1-0.002516*M81)*9884*COS(2*S81-2*R81) +(1-0.002516*M81)*5751*COS(R81+2*Q81) -(1-0.002516*M81)*(1-0.002516*M81)*4950*COS(2*S81-2*R81-Q81)  +4130*COS(2*S81+Q81-2*T81) -(1-0.002516*M81)*3958*COS(4*S81-R81-Q81) +3258*COS(3*S81-Q81) +(1-0.002516*M81)*2616*COS(2*S81+R81+Q81) -(1-0.002516*M81)*1897*COS(4*S81-R81-2*Q81)  -(1-0.002516*M81)*(1-0.002516*M81)*2117*COS(2*R81-Q81) +(1-0.002516*M81)*(1-0.002516*M81)*2354*COS(2*S81+2*R81-Q81) -1423*COS(4*S81+Q81) -1117*COS(4*Q81) -(1-0.002516*M81)*1571*COS(4*S81-R81)  -1739*COS(S81-2*Q81) -4421*COS(2*Q81-2*T81) +(1-0.002516*M81)*(1-0.002516*M81)*1165*COS(2*R81+Q81) +8752*COS(2*S81-Q81-2*T81))/1000</f>
        <v>383672.147694395</v>
      </c>
      <c r="AY81" s="10" t="n">
        <f aca="false">AY80+1/8</f>
        <v>10.875</v>
      </c>
      <c r="AZ81" s="17" t="n">
        <f aca="false">AZ80+1</f>
        <v>80</v>
      </c>
      <c r="BA81" s="32" t="n">
        <f aca="false">ATAN(0.99664719*TAN($A$4*input!$E$2))</f>
        <v>-0.400219206115995</v>
      </c>
      <c r="BB81" s="32" t="n">
        <f aca="false">COS(BA81)</f>
        <v>0.920975608992155</v>
      </c>
      <c r="BC81" s="32" t="n">
        <f aca="false">0.99664719*SIN(BA81)</f>
        <v>-0.388313912533463</v>
      </c>
      <c r="BD81" s="32" t="n">
        <f aca="false">6378.14/AX81</f>
        <v>0.0166239327986882</v>
      </c>
      <c r="BE81" s="33" t="n">
        <f aca="false">MOD(N81-15*AH81,360)</f>
        <v>306.12348032098</v>
      </c>
      <c r="BF81" s="27" t="n">
        <f aca="false">COS($A$4*AG81)*SIN($A$4*BE81)</f>
        <v>-0.794693698187365</v>
      </c>
      <c r="BG81" s="27" t="n">
        <f aca="false">COS($A$4*AG81)*COS($A$4*BE81)-BB81*BD81</f>
        <v>0.564689373728561</v>
      </c>
      <c r="BH81" s="27" t="n">
        <f aca="false">SIN($A$4*AG81)-BC81*BD81</f>
        <v>0.185515009629423</v>
      </c>
      <c r="BI81" s="46" t="n">
        <f aca="false">SQRT(BF81^2+BG81^2+BH81^2)</f>
        <v>0.99238499663108</v>
      </c>
      <c r="BJ81" s="35" t="n">
        <f aca="false">AX81*BI81</f>
        <v>380750.482997142</v>
      </c>
    </row>
    <row r="82" customFormat="false" ht="15" hidden="false" customHeight="false" outlineLevel="0" collapsed="false">
      <c r="A82" s="20"/>
      <c r="B82" s="20"/>
      <c r="C82" s="15" t="n">
        <f aca="false">MOD(C81+3,24)</f>
        <v>0</v>
      </c>
      <c r="D82" s="36" t="n">
        <v>11</v>
      </c>
      <c r="E82" s="102" t="n">
        <f aca="false">input!$C$2</f>
        <v>10</v>
      </c>
      <c r="F82" s="102" t="n">
        <f aca="false">input!$D$2</f>
        <v>2022</v>
      </c>
      <c r="H82" s="39" t="n">
        <f aca="false">AM82</f>
        <v>53.9650829406833</v>
      </c>
      <c r="I82" s="48" t="n">
        <f aca="false">H82+1.02/(TAN($A$4*(H82+10.3/(H82+5.11)))*60)</f>
        <v>53.9773710644822</v>
      </c>
      <c r="J82" s="39" t="n">
        <f aca="false">100*(1+COS($A$4*AQ82))/2</f>
        <v>98.5237228849112</v>
      </c>
      <c r="K82" s="48" t="n">
        <f aca="false">IF(AI82&gt;180,AT82-180,AT82+180)</f>
        <v>17.5553949144754</v>
      </c>
      <c r="L82" s="10" t="n">
        <f aca="false">L81+1/8</f>
        <v>2459863.5</v>
      </c>
      <c r="M82" s="49" t="n">
        <f aca="false">(L82-2451545)/36525</f>
        <v>0.227748117727584</v>
      </c>
      <c r="N82" s="15" t="n">
        <f aca="false">MOD(280.46061837+360.98564736629*(L82-2451545)+0.000387933*M82^2-M82^3/38710000+$G$4,360)</f>
        <v>19.5682549746707</v>
      </c>
      <c r="O82" s="18" t="n">
        <f aca="false">0.60643382+1336.85522467*M82 - 0.00000313*M82^2 - INT(0.60643382+1336.85522467*M82 - 0.00000313*M82^2)</f>
        <v>0.0726947505281714</v>
      </c>
      <c r="P82" s="15" t="n">
        <f aca="false">22640*SIN(Q82)-4586*SIN(Q82-2*S82)+2370*SIN(2*S82)+769*SIN(2*Q82)-668*SIN(R82)-412*SIN(2*T82)-212*SIN(2*Q82-2*S82)-206*SIN(Q82+R82-2*S82)+192*SIN(Q82+2*S82)-165*SIN(R82-2*S82)-125*SIN(S82)-110*SIN(Q82+R82)+148*SIN(Q82-R82)-55*SIN(2*T82-2*S82)</f>
        <v>19627.0599349136</v>
      </c>
      <c r="Q82" s="18" t="n">
        <f aca="false">2*PI()*(0.374897+1325.55241*M82 - INT(0.374897+1325.55241*M82))</f>
        <v>1.67738005226988</v>
      </c>
      <c r="R82" s="26" t="n">
        <f aca="false">2*PI()*(0.99312619+99.99735956*M82 - 0.00000044*M82^2 - INT(0.99312619+99.99735956*M82- 0.00000044*M82^2))</f>
        <v>4.82131795462305</v>
      </c>
      <c r="S82" s="26" t="n">
        <f aca="false">2*PI()*(0.827361+1236.853086*M82 - INT(0.827361+1236.853086*M82))</f>
        <v>3.25672097883951</v>
      </c>
      <c r="T82" s="26" t="n">
        <f aca="false">2*PI()*(0.259086+1342.227825*M82 - INT(0.259086+1342.227825*M82))</f>
        <v>5.9624079962813</v>
      </c>
      <c r="U82" s="26" t="n">
        <f aca="false">T82+(P82+412*SIN(2*T82)+541*SIN(R82))/206264.8062</f>
        <v>6.05376002459483</v>
      </c>
      <c r="V82" s="26" t="n">
        <f aca="false">T82-2*S82</f>
        <v>-0.551033961397719</v>
      </c>
      <c r="W82" s="25" t="n">
        <f aca="false">-526*SIN(V82)+44*SIN(Q82+V82)-31*SIN(-Q82+V82)-23*SIN(R82+V82)+11*SIN(-R82+V82)-25*SIN(-2*Q82+T82)+21*SIN(-Q82+T82)</f>
        <v>337.301382027291</v>
      </c>
      <c r="X82" s="26" t="n">
        <f aca="false">2*PI()*(O82+P82/1296000-INT(O82+P82/1296000))</f>
        <v>0.551909260191722</v>
      </c>
      <c r="Y82" s="26" t="n">
        <f aca="false">(18520*SIN(U82)+W82)/206264.8062</f>
        <v>-0.018784000289337</v>
      </c>
      <c r="Z82" s="26" t="n">
        <f aca="false">Y82*180/PI()</f>
        <v>-1.07624393895153</v>
      </c>
      <c r="AA82" s="26" t="n">
        <f aca="false">COS(Y82)*COS(X82)</f>
        <v>0.851374801844532</v>
      </c>
      <c r="AB82" s="26" t="n">
        <f aca="false">COS(Y82)*SIN(X82)</f>
        <v>0.524221470004555</v>
      </c>
      <c r="AC82" s="26" t="n">
        <f aca="false">SIN(Y82)</f>
        <v>-0.0187828956885544</v>
      </c>
      <c r="AD82" s="26" t="n">
        <f aca="false">COS($A$4*(23.4393-46.815*M82/3600))*AB82-SIN($A$4*(23.4393-46.815*M82/3600))*AC82</f>
        <v>0.488445059766619</v>
      </c>
      <c r="AE82" s="26" t="n">
        <f aca="false">SIN($A$4*(23.4393-46.815*M82/3600))*AB82+COS($A$4*(23.4393-46.815*M82/3600))*AC82</f>
        <v>0.191265183380999</v>
      </c>
      <c r="AF82" s="26" t="n">
        <f aca="false">SQRT(1-AE82*AE82)</f>
        <v>0.981538399465977</v>
      </c>
      <c r="AG82" s="10" t="n">
        <f aca="false">ATAN(AE82/AF82)/$A$4</f>
        <v>11.0266280614094</v>
      </c>
      <c r="AH82" s="26" t="n">
        <f aca="false">IF(24*ATAN(AD82/(AA82+AF82))/PI()&gt;0,24*ATAN(AD82/(AA82+AF82))/PI(),24*ATAN(AD82/(AA82+AF82))/PI()+24)</f>
        <v>1.98956448495076</v>
      </c>
      <c r="AI82" s="10" t="n">
        <f aca="false">IF(N82-15*AH82&gt;0,N82-15*AH82,360+N82-15*AH82)</f>
        <v>349.724787700409</v>
      </c>
      <c r="AJ82" s="18" t="n">
        <f aca="false">0.950724+0.051818*COS(Q82)+0.009531*COS(2*S82-Q82)+0.007843*COS(2*S82)+0.002824*COS(2*Q82)+0.000857*COS(2*S82+Q82)+0.000533*COS(2*S82-R82)+0.000401*COS(2*S82-R82-Q82)+0.00032*COS(Q82-R82)-0.000271*COS(S82)</f>
        <v>0.951265555164924</v>
      </c>
      <c r="AK82" s="50" t="n">
        <f aca="false">ASIN(COS($A$4*$G$2)*COS($A$4*AG82)*COS($A$4*AI82)+SIN($A$4*$G$2)*SIN($A$4*AG82))/$A$4</f>
        <v>54.5169588787737</v>
      </c>
      <c r="AL82" s="18" t="n">
        <f aca="false">ASIN((0.9983271+0.0016764*COS($A$4*2*$G$2))*COS($A$4*AK82)*SIN($A$4*AJ82))/$A$4</f>
        <v>0.551875938090405</v>
      </c>
      <c r="AM82" s="18" t="n">
        <f aca="false">AK82-AL82</f>
        <v>53.9650829406833</v>
      </c>
      <c r="AN82" s="10" t="n">
        <f aca="false"> IF(280.4664567 + 360007.6982779*M82/10 + 0.03032028*M82^2/100 + M82^3/49931000&lt;0,MOD(280.4664567 + 360007.6982779*M82/10 + 0.03032028*M82^2/100 + M82^3/49931000+360,360),MOD(280.4664567 + 360007.6982779*M82/10 + 0.03032028*M82^2/100 + M82^3/49931000,360))</f>
        <v>199.574037450289</v>
      </c>
      <c r="AO82" s="27" t="n">
        <f aca="false"> AN82 + (1.9146 - 0.004817*M82 - 0.000014*M82^2)*SIN(R82)+ (0.019993 - 0.000101*M82)*SIN(2*R82)+ 0.00029*SIN(3*R82)</f>
        <v>197.667834732685</v>
      </c>
      <c r="AP82" s="18" t="n">
        <f aca="false">ACOS(COS(X82-$A$4*AO82)*COS(Y82))/$A$4</f>
        <v>166.005142892889</v>
      </c>
      <c r="AQ82" s="25" t="n">
        <f aca="false">180 - AP82 -0.1468*(1-0.0549*SIN(R82))*SIN($A$4*AP82)/(1-0.0167*SIN($A$4*AO82))</f>
        <v>13.9576070847762</v>
      </c>
      <c r="AR82" s="25" t="n">
        <f aca="false">SIN($A$4*AI82)</f>
        <v>-0.1783765431781</v>
      </c>
      <c r="AS82" s="25" t="n">
        <f aca="false">COS($A$4*AI82)*SIN($A$4*$G$2) - TAN($A$4*AG82)*COS($A$4*$G$2)</f>
        <v>-0.563836724330429</v>
      </c>
      <c r="AT82" s="25" t="n">
        <f aca="false">IF(OR(AND(AR82*AS82&gt;0), AND(AR82&lt;0,AS82&gt;0)), MOD(ATAN2(AS82,AR82)/$A$4+360,360),  ATAN2(AS82,AR82)/$A$4)</f>
        <v>197.555394914475</v>
      </c>
      <c r="AU82" s="29" t="n">
        <f aca="false">(1+SIN($A$4*H82)*SIN($A$4*AJ82))*120*ASIN(0.272481*SIN($A$4*AJ82))/$A$4</f>
        <v>31.5204579456055</v>
      </c>
      <c r="AV82" s="10" t="n">
        <f aca="false">COS(X82)</f>
        <v>0.851525022904415</v>
      </c>
      <c r="AW82" s="10" t="n">
        <f aca="false">SIN(X82)</f>
        <v>0.524313966405278</v>
      </c>
      <c r="AX82" s="30" t="n">
        <f aca="false"> 385000.56 + (-20905355*COS(Q82) - 3699111*COS(2*S82-Q82) - 2955968*COS(2*S82) - 569925*COS(2*Q82) + (1-0.002516*M82)*48888*COS(R82) - 3149*COS(2*T82)  +246158*COS(2*S82-2*Q82) -(1-0.002516*M82)*152138*COS(2*S82-R82-Q82) -170733*COS(2*S82+Q82) -(1-0.002516*M82)*204586*COS(2*S82-R82) -(1-0.002516*M82)*129620*COS(R82-Q82)  + 108743*COS(S82) +(1-0.002516*M82)*104755*COS(R82+Q82) +10321*COS(2*S82-2*T82) +79661*COS(Q82-2*T82) -34782*COS(4*S82-Q82) -23210*COS(3*Q82)  -21636*COS(4*S82-2*Q82) +(1-0.002516*M82)*24208*COS(2*S82+R82-Q82) +(1-0.002516*M82)*30824*COS(2*S82+R82) -8379*COS(S82-Q82) -(1-0.002516*M82)*16675*COS(S82+R82)  -(1-0.002516*M82)*12831*COS(2*S82-R82+Q82) -10445*COS(2*S82+2*Q82) -11650*COS(4*S82) +14403*COS(2*S82-3*Q82) -(1-0.002516*M82)*7003*COS(R82-2*Q82)  + (1-0.002516*M82)*10056*COS(2*S82-R82-2*Q82) +6322*COS(S82+Q82) -(1-0.002516*M82)*(1-0.002516*M82)*9884*COS(2*S82-2*R82) +(1-0.002516*M82)*5751*COS(R82+2*Q82) -(1-0.002516*M82)*(1-0.002516*M82)*4950*COS(2*S82-2*R82-Q82)  +4130*COS(2*S82+Q82-2*T82) -(1-0.002516*M82)*3958*COS(4*S82-R82-Q82) +3258*COS(3*S82-Q82) +(1-0.002516*M82)*2616*COS(2*S82+R82+Q82) -(1-0.002516*M82)*1897*COS(4*S82-R82-2*Q82)  -(1-0.002516*M82)*(1-0.002516*M82)*2117*COS(2*R82-Q82) +(1-0.002516*M82)*(1-0.002516*M82)*2354*COS(2*S82+2*R82-Q82) -1423*COS(4*S82+Q82) -1117*COS(4*Q82) -(1-0.002516*M82)*1571*COS(4*S82-R82)  -1739*COS(S82-2*Q82) -4421*COS(2*Q82-2*T82) +(1-0.002516*M82)*(1-0.002516*M82)*1165*COS(2*R82+Q82) +8752*COS(2*S82-Q82-2*T82))/1000</f>
        <v>384222.941278339</v>
      </c>
      <c r="AY82" s="10" t="n">
        <f aca="false">AY81+1/8</f>
        <v>11</v>
      </c>
      <c r="AZ82" s="17" t="n">
        <f aca="false">AZ81+1</f>
        <v>81</v>
      </c>
      <c r="BA82" s="32" t="n">
        <f aca="false">ATAN(0.99664719*TAN($A$4*input!$E$2))</f>
        <v>-0.400219206115995</v>
      </c>
      <c r="BB82" s="32" t="n">
        <f aca="false">COS(BA82)</f>
        <v>0.920975608992155</v>
      </c>
      <c r="BC82" s="32" t="n">
        <f aca="false">0.99664719*SIN(BA82)</f>
        <v>-0.388313912533463</v>
      </c>
      <c r="BD82" s="32" t="n">
        <f aca="false">6378.14/AX82</f>
        <v>0.0166001019584605</v>
      </c>
      <c r="BE82" s="33" t="n">
        <f aca="false">MOD(N82-15*AH82,360)</f>
        <v>349.724787700409</v>
      </c>
      <c r="BF82" s="27" t="n">
        <f aca="false">COS($A$4*AG82)*SIN($A$4*BE82)</f>
        <v>-0.175083426693306</v>
      </c>
      <c r="BG82" s="27" t="n">
        <f aca="false">COS($A$4*AG82)*COS($A$4*BE82)-BB82*BD82</f>
        <v>0.950508492576348</v>
      </c>
      <c r="BH82" s="27" t="n">
        <f aca="false">SIN($A$4*AG82)-BC82*BD82</f>
        <v>0.197711233920944</v>
      </c>
      <c r="BI82" s="46" t="n">
        <f aca="false">SQRT(BF82^2+BG82^2+BH82^2)</f>
        <v>0.98651423344064</v>
      </c>
      <c r="BJ82" s="35" t="n">
        <f aca="false">AX82*BI82</f>
        <v>379041.400385509</v>
      </c>
    </row>
    <row r="83" customFormat="false" ht="15" hidden="false" customHeight="false" outlineLevel="0" collapsed="false">
      <c r="A83" s="20"/>
      <c r="B83" s="20"/>
      <c r="C83" s="15" t="n">
        <f aca="false">MOD(C82+3,24)</f>
        <v>3</v>
      </c>
      <c r="D83" s="17" t="n">
        <v>11</v>
      </c>
      <c r="E83" s="102" t="n">
        <f aca="false">input!$C$2</f>
        <v>10</v>
      </c>
      <c r="F83" s="102" t="n">
        <f aca="false">input!$D$2</f>
        <v>2022</v>
      </c>
      <c r="H83" s="39" t="n">
        <f aca="false">AM83</f>
        <v>41.6495719770597</v>
      </c>
      <c r="I83" s="48" t="n">
        <f aca="false">H83+1.02/(TAN($A$4*(H83+10.3/(H83+5.11)))*60)</f>
        <v>41.6685388575371</v>
      </c>
      <c r="J83" s="39" t="n">
        <f aca="false">100*(1+COS($A$4*AQ83))/2</f>
        <v>98.1905165769751</v>
      </c>
      <c r="K83" s="48" t="n">
        <f aca="false">IF(AI83&gt;180,AT83-180,AT83+180)</f>
        <v>313.294302915419</v>
      </c>
      <c r="L83" s="10" t="n">
        <f aca="false">L82+1/8</f>
        <v>2459863.625</v>
      </c>
      <c r="M83" s="49" t="n">
        <f aca="false">(L83-2451545)/36525</f>
        <v>0.227751540041068</v>
      </c>
      <c r="N83" s="15" t="n">
        <f aca="false">MOD(280.46061837+360.98564736629*(L83-2451545)+0.000387933*M83^2-M83^3/38710000+$G$4,360)</f>
        <v>64.6914608958177</v>
      </c>
      <c r="O83" s="18" t="n">
        <f aca="false">0.60643382+1336.85522467*M83 - 0.00000313*M83^2 - INT(0.60643382+1336.85522467*M83 - 0.00000313*M83^2)</f>
        <v>0.0772698881846736</v>
      </c>
      <c r="P83" s="15" t="n">
        <f aca="false">22640*SIN(Q83)-4586*SIN(Q83-2*S83)+2370*SIN(2*S83)+769*SIN(2*Q83)-668*SIN(R83)-412*SIN(2*T83)-212*SIN(2*Q83-2*S83)-206*SIN(Q83+R83-2*S83)+192*SIN(Q83+2*S83)-165*SIN(R83-2*S83)-125*SIN(S83)-110*SIN(Q83+R83)+148*SIN(Q83-R83)-55*SIN(2*T83-2*S83)</f>
        <v>19618.7619807886</v>
      </c>
      <c r="Q83" s="18" t="n">
        <f aca="false">2*PI()*(0.374897+1325.55241*M83 - INT(0.374897+1325.55241*M83))</f>
        <v>1.70588344524168</v>
      </c>
      <c r="R83" s="26" t="n">
        <f aca="false">2*PI()*(0.99312619+99.99735956*M83 - 0.00000044*M83^2 - INT(0.99312619+99.99735956*M83- 0.00000044*M83^2))</f>
        <v>4.82346820082115</v>
      </c>
      <c r="S83" s="26" t="n">
        <f aca="false">2*PI()*(0.827361+1236.853086*M83 - INT(0.827361+1236.853086*M83))</f>
        <v>3.28331706760443</v>
      </c>
      <c r="T83" s="26" t="n">
        <f aca="false">2*PI()*(0.259086+1342.227825*M83 - INT(0.259086+1342.227825*M83))</f>
        <v>5.99126996119906</v>
      </c>
      <c r="U83" s="26" t="n">
        <f aca="false">T83+(P83+412*SIN(2*T83)+541*SIN(R83))/206264.8062</f>
        <v>6.08267669287598</v>
      </c>
      <c r="V83" s="26" t="n">
        <f aca="false">T83-2*S83</f>
        <v>-0.575364174009805</v>
      </c>
      <c r="W83" s="25" t="n">
        <f aca="false">-526*SIN(V83)+44*SIN(Q83+V83)-31*SIN(-Q83+V83)-23*SIN(R83+V83)+11*SIN(-R83+V83)-25*SIN(-2*Q83+T83)+21*SIN(-Q83+T83)</f>
        <v>346.157307305828</v>
      </c>
      <c r="X83" s="26" t="n">
        <f aca="false">2*PI()*(O83+P83/1296000-INT(O83+P83/1296000))</f>
        <v>0.58061546827653</v>
      </c>
      <c r="Y83" s="26" t="n">
        <f aca="false">(18520*SIN(U83)+W83)/206264.8062</f>
        <v>-0.0162045579058865</v>
      </c>
      <c r="Z83" s="26" t="n">
        <f aca="false">Y83*180/PI()</f>
        <v>-0.92845277688265</v>
      </c>
      <c r="AA83" s="26" t="n">
        <f aca="false">COS(Y83)*COS(X83)</f>
        <v>0.836015424468936</v>
      </c>
      <c r="AB83" s="26" t="n">
        <f aca="false">COS(Y83)*SIN(X83)</f>
        <v>0.548466631014499</v>
      </c>
      <c r="AC83" s="26" t="n">
        <f aca="false">SIN(Y83)</f>
        <v>-0.016203848728941</v>
      </c>
      <c r="AD83" s="26" t="n">
        <f aca="false">COS($A$4*(23.4393-46.815*M83/3600))*AB83-SIN($A$4*(23.4393-46.815*M83/3600))*AC83</f>
        <v>0.509664293216295</v>
      </c>
      <c r="AE83" s="26" t="n">
        <f aca="false">SIN($A$4*(23.4393-46.815*M83/3600))*AB83+COS($A$4*(23.4393-46.815*M83/3600))*AC83</f>
        <v>0.20327448996458</v>
      </c>
      <c r="AF83" s="26" t="n">
        <f aca="false">SQRT(1-AE83*AE83)</f>
        <v>0.979121791060561</v>
      </c>
      <c r="AG83" s="10" t="n">
        <f aca="false">ATAN(AE83/AF83)/$A$4</f>
        <v>11.7285079492587</v>
      </c>
      <c r="AH83" s="26" t="n">
        <f aca="false">IF(24*ATAN(AD83/(AA83+AF83))/PI()&gt;0,24*ATAN(AD83/(AA83+AF83))/PI(),24*ATAN(AD83/(AA83+AF83))/PI()+24)</f>
        <v>2.0911965671375</v>
      </c>
      <c r="AI83" s="10" t="n">
        <f aca="false">IF(N83-15*AH83&gt;0,N83-15*AH83,360+N83-15*AH83)</f>
        <v>33.3235123887553</v>
      </c>
      <c r="AJ83" s="18" t="n">
        <f aca="false">0.950724+0.051818*COS(Q83)+0.009531*COS(2*S83-Q83)+0.007843*COS(2*S83)+0.002824*COS(2*Q83)+0.000857*COS(2*S83+Q83)+0.000533*COS(2*S83-R83)+0.000401*COS(2*S83-R83-Q83)+0.00032*COS(Q83-R83)-0.000271*COS(S83)</f>
        <v>0.94987203292493</v>
      </c>
      <c r="AK83" s="50" t="n">
        <f aca="false">ASIN(COS($A$4*$G$2)*COS($A$4*AG83)*COS($A$4*AI83)+SIN($A$4*$G$2)*SIN($A$4*AG83))/$A$4</f>
        <v>42.3511840291336</v>
      </c>
      <c r="AL83" s="18" t="n">
        <f aca="false">ASIN((0.9983271+0.0016764*COS($A$4*2*$G$2))*COS($A$4*AK83)*SIN($A$4*AJ83))/$A$4</f>
        <v>0.701612052073906</v>
      </c>
      <c r="AM83" s="18" t="n">
        <f aca="false">AK83-AL83</f>
        <v>41.6495719770597</v>
      </c>
      <c r="AN83" s="10" t="n">
        <f aca="false"> IF(280.4664567 + 360007.6982779*M83/10 + 0.03032028*M83^2/100 + M83^3/49931000&lt;0,MOD(280.4664567 + 360007.6982779*M83/10 + 0.03032028*M83^2/100 + M83^3/49931000+360,360),MOD(280.4664567 + 360007.6982779*M83/10 + 0.03032028*M83^2/100 + M83^3/49931000,360))</f>
        <v>199.697243370776</v>
      </c>
      <c r="AO83" s="27" t="n">
        <f aca="false"> AN83 + (1.9146 - 0.004817*M83 - 0.000014*M83^2)*SIN(R83)+ (0.019993 - 0.000101*M83)*SIN(2*R83)+ 0.00029*SIN(3*R83)</f>
        <v>197.791407952366</v>
      </c>
      <c r="AP83" s="18" t="n">
        <f aca="false">ACOS(COS(X83-$A$4*AO83)*COS(Y83))/$A$4</f>
        <v>164.497445082197</v>
      </c>
      <c r="AQ83" s="25" t="n">
        <f aca="false">180 - AP83 -0.1468*(1-0.0549*SIN(R83))*SIN($A$4*AP83)/(1-0.0167*SIN($A$4*AO83))</f>
        <v>15.4613872533661</v>
      </c>
      <c r="AR83" s="25" t="n">
        <f aca="false">SIN($A$4*AI83)</f>
        <v>0.549365760855871</v>
      </c>
      <c r="AS83" s="25" t="n">
        <f aca="false">COS($A$4*AI83)*SIN($A$4*$G$2) - TAN($A$4*AG83)*COS($A$4*$G$2)</f>
        <v>-0.517592980135624</v>
      </c>
      <c r="AT83" s="25" t="n">
        <f aca="false">IF(OR(AND(AR83*AS83&gt;0), AND(AR83&lt;0,AS83&gt;0)), MOD(ATAN2(AS83,AR83)/$A$4+360,360),  ATAN2(AS83,AR83)/$A$4)</f>
        <v>133.294302915418</v>
      </c>
      <c r="AU83" s="29" t="n">
        <f aca="false">(1+SIN($A$4*H83)*SIN($A$4*AJ83))*120*ASIN(0.272481*SIN($A$4*AJ83))/$A$4</f>
        <v>31.3994928172809</v>
      </c>
      <c r="AV83" s="10" t="n">
        <f aca="false">COS(X83)</f>
        <v>0.836125200162085</v>
      </c>
      <c r="AW83" s="10" t="n">
        <f aca="false">SIN(X83)</f>
        <v>0.548538649188837</v>
      </c>
      <c r="AX83" s="30" t="n">
        <f aca="false"> 385000.56 + (-20905355*COS(Q83) - 3699111*COS(2*S83-Q83) - 2955968*COS(2*S83) - 569925*COS(2*Q83) + (1-0.002516*M83)*48888*COS(R83) - 3149*COS(2*T83)  +246158*COS(2*S83-2*Q83) -(1-0.002516*M83)*152138*COS(2*S83-R83-Q83) -170733*COS(2*S83+Q83) -(1-0.002516*M83)*204586*COS(2*S83-R83) -(1-0.002516*M83)*129620*COS(R83-Q83)  + 108743*COS(S83) +(1-0.002516*M83)*104755*COS(R83+Q83) +10321*COS(2*S83-2*T83) +79661*COS(Q83-2*T83) -34782*COS(4*S83-Q83) -23210*COS(3*Q83)  -21636*COS(4*S83-2*Q83) +(1-0.002516*M83)*24208*COS(2*S83+R83-Q83) +(1-0.002516*M83)*30824*COS(2*S83+R83) -8379*COS(S83-Q83) -(1-0.002516*M83)*16675*COS(S83+R83)  -(1-0.002516*M83)*12831*COS(2*S83-R83+Q83) -10445*COS(2*S83+2*Q83) -11650*COS(4*S83) +14403*COS(2*S83-3*Q83) -(1-0.002516*M83)*7003*COS(R83-2*Q83)  + (1-0.002516*M83)*10056*COS(2*S83-R83-2*Q83) +6322*COS(S83+Q83) -(1-0.002516*M83)*(1-0.002516*M83)*9884*COS(2*S83-2*R83) +(1-0.002516*M83)*5751*COS(R83+2*Q83) -(1-0.002516*M83)*(1-0.002516*M83)*4950*COS(2*S83-2*R83-Q83)  +4130*COS(2*S83+Q83-2*T83) -(1-0.002516*M83)*3958*COS(4*S83-R83-Q83) +3258*COS(3*S83-Q83) +(1-0.002516*M83)*2616*COS(2*S83+R83+Q83) -(1-0.002516*M83)*1897*COS(4*S83-R83-2*Q83)  -(1-0.002516*M83)*(1-0.002516*M83)*2117*COS(2*R83-Q83) +(1-0.002516*M83)*(1-0.002516*M83)*2354*COS(2*S83+2*R83-Q83) -1423*COS(4*S83+Q83) -1117*COS(4*Q83) -(1-0.002516*M83)*1571*COS(4*S83-R83)  -1739*COS(S83-2*Q83) -4421*COS(2*Q83-2*T83) +(1-0.002516*M83)*(1-0.002516*M83)*1165*COS(2*R83+Q83) +8752*COS(2*S83-Q83-2*T83))/1000</f>
        <v>384778.082851821</v>
      </c>
      <c r="AY83" s="10" t="n">
        <f aca="false">AY82+1/8</f>
        <v>11.125</v>
      </c>
      <c r="AZ83" s="17" t="n">
        <f aca="false">AZ82+1</f>
        <v>82</v>
      </c>
      <c r="BA83" s="32" t="n">
        <f aca="false">ATAN(0.99664719*TAN($A$4*input!$E$2))</f>
        <v>-0.400219206115995</v>
      </c>
      <c r="BB83" s="32" t="n">
        <f aca="false">COS(BA83)</f>
        <v>0.920975608992155</v>
      </c>
      <c r="BC83" s="32" t="n">
        <f aca="false">0.99664719*SIN(BA83)</f>
        <v>-0.388313912533463</v>
      </c>
      <c r="BD83" s="32" t="n">
        <f aca="false">6378.14/AX83</f>
        <v>0.0165761520321734</v>
      </c>
      <c r="BE83" s="33" t="n">
        <f aca="false">MOD(N83-15*AH83,360)</f>
        <v>33.3235123887553</v>
      </c>
      <c r="BF83" s="27" t="n">
        <f aca="false">COS($A$4*AG83)*SIN($A$4*BE83)</f>
        <v>0.537895987716548</v>
      </c>
      <c r="BG83" s="27" t="n">
        <f aca="false">COS($A$4*AG83)*COS($A$4*BE83)-BB83*BD83</f>
        <v>0.802870302203418</v>
      </c>
      <c r="BH83" s="27" t="n">
        <f aca="false">SIN($A$4*AG83)-BC83*BD83</f>
        <v>0.209711240414943</v>
      </c>
      <c r="BI83" s="46" t="n">
        <f aca="false">SQRT(BF83^2+BG83^2+BH83^2)</f>
        <v>0.988894139995856</v>
      </c>
      <c r="BJ83" s="35" t="n">
        <f aca="false">AX83*BI83</f>
        <v>380504.791331005</v>
      </c>
    </row>
    <row r="84" customFormat="false" ht="15" hidden="false" customHeight="false" outlineLevel="0" collapsed="false">
      <c r="A84" s="20"/>
      <c r="B84" s="20"/>
      <c r="C84" s="15" t="n">
        <f aca="false">MOD(C83+3,24)</f>
        <v>6</v>
      </c>
      <c r="D84" s="17" t="n">
        <v>11</v>
      </c>
      <c r="E84" s="102" t="n">
        <f aca="false">input!$C$2</f>
        <v>10</v>
      </c>
      <c r="F84" s="102" t="n">
        <f aca="false">input!$D$2</f>
        <v>2022</v>
      </c>
      <c r="H84" s="39" t="n">
        <f aca="false">AM84</f>
        <v>5.91728035182462</v>
      </c>
      <c r="I84" s="48" t="n">
        <f aca="false">H84+1.02/(TAN($A$4*(H84+10.3/(H84+5.11)))*60)</f>
        <v>6.05876844877192</v>
      </c>
      <c r="J84" s="39" t="n">
        <f aca="false">100*(1+COS($A$4*AQ84))/2</f>
        <v>97.8245107858316</v>
      </c>
      <c r="K84" s="48" t="n">
        <f aca="false">IF(AI84&gt;180,AT84-180,AT84+180)</f>
        <v>286.642092857334</v>
      </c>
      <c r="L84" s="10" t="n">
        <f aca="false">L83+1/8</f>
        <v>2459863.75</v>
      </c>
      <c r="M84" s="49" t="n">
        <f aca="false">(L84-2451545)/36525</f>
        <v>0.227754962354552</v>
      </c>
      <c r="N84" s="15" t="n">
        <f aca="false">MOD(280.46061837+360.98564736629*(L84-2451545)+0.000387933*M84^2-M84^3/38710000+$G$4,360)</f>
        <v>109.81466681743</v>
      </c>
      <c r="O84" s="18" t="n">
        <f aca="false">0.60643382+1336.85522467*M84 - 0.00000313*M84^2 - INT(0.60643382+1336.85522467*M84 - 0.00000313*M84^2)</f>
        <v>0.0818450258412327</v>
      </c>
      <c r="P84" s="15" t="n">
        <f aca="false">22640*SIN(Q84)-4586*SIN(Q84-2*S84)+2370*SIN(2*S84)+769*SIN(2*Q84)-668*SIN(R84)-412*SIN(2*T84)-212*SIN(2*Q84-2*S84)-206*SIN(Q84+R84-2*S84)+192*SIN(Q84+2*S84)-165*SIN(R84-2*S84)-125*SIN(S84)-110*SIN(Q84+R84)+148*SIN(Q84-R84)-55*SIN(2*T84-2*S84)</f>
        <v>19591.4527619496</v>
      </c>
      <c r="Q84" s="18" t="n">
        <f aca="false">2*PI()*(0.374897+1325.55241*M84 - INT(0.374897+1325.55241*M84))</f>
        <v>1.73438683821348</v>
      </c>
      <c r="R84" s="26" t="n">
        <f aca="false">2*PI()*(0.99312619+99.99735956*M84 - 0.00000044*M84^2 - INT(0.99312619+99.99735956*M84- 0.00000044*M84^2))</f>
        <v>4.82561844701924</v>
      </c>
      <c r="S84" s="26" t="n">
        <f aca="false">2*PI()*(0.827361+1236.853086*M84 - INT(0.827361+1236.853086*M84))</f>
        <v>3.30991315636936</v>
      </c>
      <c r="T84" s="26" t="n">
        <f aca="false">2*PI()*(0.259086+1342.227825*M84 - INT(0.259086+1342.227825*M84))</f>
        <v>6.02013192611646</v>
      </c>
      <c r="U84" s="26" t="n">
        <f aca="false">T84+(P84+412*SIN(2*T84)+541*SIN(R84))/206264.8062</f>
        <v>6.11150487167708</v>
      </c>
      <c r="V84" s="26" t="n">
        <f aca="false">T84-2*S84</f>
        <v>-0.599694386622248</v>
      </c>
      <c r="W84" s="25" t="n">
        <f aca="false">-526*SIN(V84)+44*SIN(Q84+V84)-31*SIN(-Q84+V84)-23*SIN(R84+V84)+11*SIN(-R84+V84)-25*SIN(-2*Q84+T84)+21*SIN(-Q84+T84)</f>
        <v>354.772009136629</v>
      </c>
      <c r="X84" s="26" t="n">
        <f aca="false">2*PI()*(O84+P84/1296000-INT(O84+P84/1296000))</f>
        <v>0.60922950714941</v>
      </c>
      <c r="Y84" s="26" t="n">
        <f aca="false">(18520*SIN(U84)+W84)/206264.8062</f>
        <v>-0.0136191614478528</v>
      </c>
      <c r="Z84" s="26" t="n">
        <f aca="false">Y84*180/PI()</f>
        <v>-0.780320471469245</v>
      </c>
      <c r="AA84" s="26" t="n">
        <f aca="false">COS(Y84)*COS(X84)</f>
        <v>0.820013110255711</v>
      </c>
      <c r="AB84" s="26" t="n">
        <f aca="false">COS(Y84)*SIN(X84)</f>
        <v>0.57218268841143</v>
      </c>
      <c r="AC84" s="26" t="n">
        <f aca="false">SIN(Y84)</f>
        <v>-0.0136187404345421</v>
      </c>
      <c r="AD84" s="26" t="n">
        <f aca="false">COS($A$4*(23.4393-46.815*M84/3600))*AB84-SIN($A$4*(23.4393-46.815*M84/3600))*AC84</f>
        <v>0.530395661990622</v>
      </c>
      <c r="AE84" s="26" t="n">
        <f aca="false">SIN($A$4*(23.4393-46.815*M84/3600))*AB84+COS($A$4*(23.4393-46.815*M84/3600))*AC84</f>
        <v>0.215078917493754</v>
      </c>
      <c r="AF84" s="26" t="n">
        <f aca="false">SQRT(1-AE84*AE84)</f>
        <v>0.976596671737988</v>
      </c>
      <c r="AG84" s="10" t="n">
        <f aca="false">ATAN(AE84/AF84)/$A$4</f>
        <v>12.4201572603682</v>
      </c>
      <c r="AH84" s="26" t="n">
        <f aca="false">IF(24*ATAN(AD84/(AA84+AF84))/PI()&gt;0,24*ATAN(AD84/(AA84+AF84))/PI(),24*ATAN(AD84/(AA84+AF84))/PI()+24)</f>
        <v>2.19302263791993</v>
      </c>
      <c r="AI84" s="10" t="n">
        <f aca="false">IF(N84-15*AH84&gt;0,N84-15*AH84,360+N84-15*AH84)</f>
        <v>76.9193272486315</v>
      </c>
      <c r="AJ84" s="18" t="n">
        <f aca="false">0.950724+0.051818*COS(Q84)+0.009531*COS(2*S84-Q84)+0.007843*COS(2*S84)+0.002824*COS(2*Q84)+0.000857*COS(2*S84+Q84)+0.000533*COS(2*S84-R84)+0.000401*COS(2*S84-R84-Q84)+0.00032*COS(Q84-R84)-0.000271*COS(S84)</f>
        <v>0.948473253220853</v>
      </c>
      <c r="AK84" s="50" t="n">
        <f aca="false">ASIN(COS($A$4*$G$2)*COS($A$4*AG84)*COS($A$4*AI84)+SIN($A$4*$G$2)*SIN($A$4*AG84))/$A$4</f>
        <v>6.85848706342839</v>
      </c>
      <c r="AL84" s="18" t="n">
        <f aca="false">ASIN((0.9983271+0.0016764*COS($A$4*2*$G$2))*COS($A$4*AK84)*SIN($A$4*AJ84))/$A$4</f>
        <v>0.94120671160377</v>
      </c>
      <c r="AM84" s="18" t="n">
        <f aca="false">AK84-AL84</f>
        <v>5.91728035182462</v>
      </c>
      <c r="AN84" s="10" t="n">
        <f aca="false"> IF(280.4664567 + 360007.6982779*M84/10 + 0.03032028*M84^2/100 + M84^3/49931000&lt;0,MOD(280.4664567 + 360007.6982779*M84/10 + 0.03032028*M84^2/100 + M84^3/49931000+360,360),MOD(280.4664567 + 360007.6982779*M84/10 + 0.03032028*M84^2/100 + M84^3/49931000,360))</f>
        <v>199.820449291261</v>
      </c>
      <c r="AO84" s="27" t="n">
        <f aca="false"> AN84 + (1.9146 - 0.004817*M84 - 0.000014*M84^2)*SIN(R84)+ (0.019993 - 0.000101*M84)*SIN(2*R84)+ 0.00029*SIN(3*R84)</f>
        <v>197.914990034674</v>
      </c>
      <c r="AP84" s="18" t="n">
        <f aca="false">ACOS(COS(X84-$A$4*AO84)*COS(Y84))/$A$4</f>
        <v>162.991329777993</v>
      </c>
      <c r="AQ84" s="25" t="n">
        <f aca="false">180 - AP84 -0.1468*(1-0.0549*SIN(R84))*SIN($A$4*AP84)/(1-0.0167*SIN($A$4*AO84))</f>
        <v>16.9636178601485</v>
      </c>
      <c r="AR84" s="25" t="n">
        <f aca="false">SIN($A$4*AI84)</f>
        <v>0.974052366818154</v>
      </c>
      <c r="AS84" s="25" t="n">
        <f aca="false">COS($A$4*AI84)*SIN($A$4*$G$2) - TAN($A$4*AG84)*COS($A$4*$G$2)</f>
        <v>-0.291156985282543</v>
      </c>
      <c r="AT84" s="25" t="n">
        <f aca="false">IF(OR(AND(AR84*AS84&gt;0), AND(AR84&lt;0,AS84&gt;0)), MOD(ATAN2(AS84,AR84)/$A$4+360,360),  ATAN2(AS84,AR84)/$A$4)</f>
        <v>106.642092857334</v>
      </c>
      <c r="AU84" s="29" t="n">
        <f aca="false">(1+SIN($A$4*H84)*SIN($A$4*AJ84))*120*ASIN(0.272481*SIN($A$4*AJ84))/$A$4</f>
        <v>31.0645233276087</v>
      </c>
      <c r="AV84" s="10" t="n">
        <f aca="false">COS(X84)</f>
        <v>0.820089164788355</v>
      </c>
      <c r="AW84" s="10" t="n">
        <f aca="false">SIN(X84)</f>
        <v>0.572235757181197</v>
      </c>
      <c r="AX84" s="30" t="n">
        <f aca="false"> 385000.56 + (-20905355*COS(Q84) - 3699111*COS(2*S84-Q84) - 2955968*COS(2*S84) - 569925*COS(2*Q84) + (1-0.002516*M84)*48888*COS(R84) - 3149*COS(2*T84)  +246158*COS(2*S84-2*Q84) -(1-0.002516*M84)*152138*COS(2*S84-R84-Q84) -170733*COS(2*S84+Q84) -(1-0.002516*M84)*204586*COS(2*S84-R84) -(1-0.002516*M84)*129620*COS(R84-Q84)  + 108743*COS(S84) +(1-0.002516*M84)*104755*COS(R84+Q84) +10321*COS(2*S84-2*T84) +79661*COS(Q84-2*T84) -34782*COS(4*S84-Q84) -23210*COS(3*Q84)  -21636*COS(4*S84-2*Q84) +(1-0.002516*M84)*24208*COS(2*S84+R84-Q84) +(1-0.002516*M84)*30824*COS(2*S84+R84) -8379*COS(S84-Q84) -(1-0.002516*M84)*16675*COS(S84+R84)  -(1-0.002516*M84)*12831*COS(2*S84-R84+Q84) -10445*COS(2*S84+2*Q84) -11650*COS(4*S84) +14403*COS(2*S84-3*Q84) -(1-0.002516*M84)*7003*COS(R84-2*Q84)  + (1-0.002516*M84)*10056*COS(2*S84-R84-2*Q84) +6322*COS(S84+Q84) -(1-0.002516*M84)*(1-0.002516*M84)*9884*COS(2*S84-2*R84) +(1-0.002516*M84)*5751*COS(R84+2*Q84) -(1-0.002516*M84)*(1-0.002516*M84)*4950*COS(2*S84-2*R84-Q84)  +4130*COS(2*S84+Q84-2*T84) -(1-0.002516*M84)*3958*COS(4*S84-R84-Q84) +3258*COS(3*S84-Q84) +(1-0.002516*M84)*2616*COS(2*S84+R84+Q84) -(1-0.002516*M84)*1897*COS(4*S84-R84-2*Q84)  -(1-0.002516*M84)*(1-0.002516*M84)*2117*COS(2*R84-Q84) +(1-0.002516*M84)*(1-0.002516*M84)*2354*COS(2*S84+2*R84-Q84) -1423*COS(4*S84+Q84) -1117*COS(4*Q84) -(1-0.002516*M84)*1571*COS(4*S84-R84)  -1739*COS(S84-2*Q84) -4421*COS(2*Q84-2*T84) +(1-0.002516*M84)*(1-0.002516*M84)*1165*COS(2*R84+Q84) +8752*COS(2*S84-Q84-2*T84))/1000</f>
        <v>385336.96750519</v>
      </c>
      <c r="AY84" s="10" t="n">
        <f aca="false">AY83+1/8</f>
        <v>11.25</v>
      </c>
      <c r="AZ84" s="17" t="n">
        <f aca="false">AZ83+1</f>
        <v>83</v>
      </c>
      <c r="BA84" s="32" t="n">
        <f aca="false">ATAN(0.99664719*TAN($A$4*input!$E$2))</f>
        <v>-0.400219206115995</v>
      </c>
      <c r="BB84" s="32" t="n">
        <f aca="false">COS(BA84)</f>
        <v>0.920975608992155</v>
      </c>
      <c r="BC84" s="32" t="n">
        <f aca="false">0.99664719*SIN(BA84)</f>
        <v>-0.388313912533463</v>
      </c>
      <c r="BD84" s="32" t="n">
        <f aca="false">6378.14/AX84</f>
        <v>0.0165521103290306</v>
      </c>
      <c r="BE84" s="33" t="n">
        <f aca="false">MOD(N84-15*AH84,360)</f>
        <v>76.9193272486315</v>
      </c>
      <c r="BF84" s="27" t="n">
        <f aca="false">COS($A$4*AG84)*SIN($A$4*BE84)</f>
        <v>0.951256299533118</v>
      </c>
      <c r="BG84" s="27" t="n">
        <f aca="false">COS($A$4*AG84)*COS($A$4*BE84)-BB84*BD84</f>
        <v>0.205781953480693</v>
      </c>
      <c r="BH84" s="27" t="n">
        <f aca="false">SIN($A$4*AG84)-BC84*BD84</f>
        <v>0.221506332216306</v>
      </c>
      <c r="BI84" s="46" t="n">
        <f aca="false">SQRT(BF84^2+BG84^2+BH84^2)</f>
        <v>0.99814819290108</v>
      </c>
      <c r="BJ84" s="35" t="n">
        <f aca="false">AX84*BI84</f>
        <v>384623.397773288</v>
      </c>
    </row>
    <row r="85" customFormat="false" ht="15" hidden="false" customHeight="false" outlineLevel="0" collapsed="false">
      <c r="A85" s="20"/>
      <c r="B85" s="20"/>
      <c r="C85" s="15" t="n">
        <f aca="false">MOD(C84+3,24)</f>
        <v>9</v>
      </c>
      <c r="D85" s="17" t="n">
        <v>11</v>
      </c>
      <c r="E85" s="102" t="n">
        <f aca="false">input!$C$2</f>
        <v>10</v>
      </c>
      <c r="F85" s="102" t="n">
        <f aca="false">input!$D$2</f>
        <v>2022</v>
      </c>
      <c r="H85" s="39" t="n">
        <f aca="false">AM85</f>
        <v>-33.7343088913952</v>
      </c>
      <c r="I85" s="48" t="n">
        <f aca="false">H85+1.02/(TAN($A$4*(H85+10.3/(H85+5.11)))*60)</f>
        <v>-33.7594233162431</v>
      </c>
      <c r="J85" s="39" t="n">
        <f aca="false">100*(1+COS($A$4*AQ85))/2</f>
        <v>97.4263104288919</v>
      </c>
      <c r="K85" s="48" t="n">
        <f aca="false">IF(AI85&gt;180,AT85-180,AT85+180)</f>
        <v>271.0537143201</v>
      </c>
      <c r="L85" s="10" t="n">
        <f aca="false">L84+1/8</f>
        <v>2459863.875</v>
      </c>
      <c r="M85" s="49" t="n">
        <f aca="false">(L85-2451545)/36525</f>
        <v>0.227758384668036</v>
      </c>
      <c r="N85" s="15" t="n">
        <f aca="false">MOD(280.46061837+360.98564736629*(L85-2451545)+0.000387933*M85^2-M85^3/38710000+$G$4,360)</f>
        <v>154.937872739043</v>
      </c>
      <c r="O85" s="18" t="n">
        <f aca="false">0.60643382+1336.85522467*M85 - 0.00000313*M85^2 - INT(0.60643382+1336.85522467*M85 - 0.00000313*M85^2)</f>
        <v>0.0864201634977349</v>
      </c>
      <c r="P85" s="15" t="n">
        <f aca="false">22640*SIN(Q85)-4586*SIN(Q85-2*S85)+2370*SIN(2*S85)+769*SIN(2*Q85)-668*SIN(R85)-412*SIN(2*T85)-212*SIN(2*Q85-2*S85)-206*SIN(Q85+R85-2*S85)+192*SIN(Q85+2*S85)-165*SIN(R85-2*S85)-125*SIN(S85)-110*SIN(Q85+R85)+148*SIN(Q85-R85)-55*SIN(2*T85-2*S85)</f>
        <v>19545.114866187</v>
      </c>
      <c r="Q85" s="18" t="n">
        <f aca="false">2*PI()*(0.374897+1325.55241*M85 - INT(0.374897+1325.55241*M85))</f>
        <v>1.76289023118563</v>
      </c>
      <c r="R85" s="26" t="n">
        <f aca="false">2*PI()*(0.99312619+99.99735956*M85 - 0.00000044*M85^2 - INT(0.99312619+99.99735956*M85- 0.00000044*M85^2))</f>
        <v>4.82776869321734</v>
      </c>
      <c r="S85" s="26" t="n">
        <f aca="false">2*PI()*(0.827361+1236.853086*M85 - INT(0.827361+1236.853086*M85))</f>
        <v>3.33650924513428</v>
      </c>
      <c r="T85" s="26" t="n">
        <f aca="false">2*PI()*(0.259086+1342.227825*M85 - INT(0.259086+1342.227825*M85))</f>
        <v>6.04899389103422</v>
      </c>
      <c r="U85" s="26" t="n">
        <f aca="false">T85+(P85+412*SIN(2*T85)+541*SIN(R85))/206264.8062</f>
        <v>6.14024415019031</v>
      </c>
      <c r="V85" s="26" t="n">
        <f aca="false">T85-2*S85</f>
        <v>-0.624024599234334</v>
      </c>
      <c r="W85" s="25" t="n">
        <f aca="false">-526*SIN(V85)+44*SIN(Q85+V85)-31*SIN(-Q85+V85)-23*SIN(R85+V85)+11*SIN(-R85+V85)-25*SIN(-2*Q85+T85)+21*SIN(-Q85+T85)</f>
        <v>363.14296606119</v>
      </c>
      <c r="X85" s="26" t="n">
        <f aca="false">2*PI()*(O85+P85/1296000-INT(O85+P85/1296000))</f>
        <v>0.637751292392874</v>
      </c>
      <c r="Y85" s="26" t="n">
        <f aca="false">(18520*SIN(U85)+W85)/206264.8062</f>
        <v>-0.0110301005491565</v>
      </c>
      <c r="Z85" s="26" t="n">
        <f aca="false">Y85*180/PI()</f>
        <v>-0.631978209071597</v>
      </c>
      <c r="AA85" s="26" t="n">
        <f aca="false">COS(Y85)*COS(X85)</f>
        <v>0.803387772903826</v>
      </c>
      <c r="AB85" s="26" t="n">
        <f aca="false">COS(Y85)*SIN(X85)</f>
        <v>0.595354035985645</v>
      </c>
      <c r="AC85" s="26" t="n">
        <f aca="false">SIN(Y85)</f>
        <v>-0.0110298768911127</v>
      </c>
      <c r="AD85" s="26" t="n">
        <f aca="false">COS($A$4*(23.4393-46.815*M85/3600))*AB85-SIN($A$4*(23.4393-46.815*M85/3600))*AC85</f>
        <v>0.550625764550933</v>
      </c>
      <c r="AE85" s="26" t="n">
        <f aca="false">SIN($A$4*(23.4393-46.815*M85/3600))*AB85+COS($A$4*(23.4393-46.815*M85/3600))*AC85</f>
        <v>0.226670143074315</v>
      </c>
      <c r="AF85" s="26" t="n">
        <f aca="false">SQRT(1-AE85*AE85)</f>
        <v>0.973971583896917</v>
      </c>
      <c r="AG85" s="10" t="n">
        <f aca="false">ATAN(AE85/AF85)/$A$4</f>
        <v>13.1011080406454</v>
      </c>
      <c r="AH85" s="26" t="n">
        <f aca="false">IF(24*ATAN(AD85/(AA85+AF85))/PI()&gt;0,24*ATAN(AD85/(AA85+AF85))/PI(),24*ATAN(AD85/(AA85+AF85))/PI()+24)</f>
        <v>2.29506350536589</v>
      </c>
      <c r="AI85" s="10" t="n">
        <f aca="false">IF(N85-15*AH85&gt;0,N85-15*AH85,360+N85-15*AH85)</f>
        <v>120.511920158555</v>
      </c>
      <c r="AJ85" s="18" t="n">
        <f aca="false">0.950724+0.051818*COS(Q85)+0.009531*COS(2*S85-Q85)+0.007843*COS(2*S85)+0.002824*COS(2*Q85)+0.000857*COS(2*S85+Q85)+0.000533*COS(2*S85-R85)+0.000401*COS(2*S85-R85-Q85)+0.00032*COS(Q85-R85)-0.000271*COS(S85)</f>
        <v>0.947070955851602</v>
      </c>
      <c r="AK85" s="50" t="n">
        <f aca="false">ASIN(COS($A$4*$G$2)*COS($A$4*AG85)*COS($A$4*AI85)+SIN($A$4*$G$2)*SIN($A$4*AG85))/$A$4</f>
        <v>-32.9399025476594</v>
      </c>
      <c r="AL85" s="18" t="n">
        <f aca="false">ASIN((0.9983271+0.0016764*COS($A$4*2*$G$2))*COS($A$4*AK85)*SIN($A$4*AJ85))/$A$4</f>
        <v>0.794406343735782</v>
      </c>
      <c r="AM85" s="18" t="n">
        <f aca="false">AK85-AL85</f>
        <v>-33.7343088913952</v>
      </c>
      <c r="AN85" s="10" t="n">
        <f aca="false"> IF(280.4664567 + 360007.6982779*M85/10 + 0.03032028*M85^2/100 + M85^3/49931000&lt;0,MOD(280.4664567 + 360007.6982779*M85/10 + 0.03032028*M85^2/100 + M85^3/49931000+360,360),MOD(280.4664567 + 360007.6982779*M85/10 + 0.03032028*M85^2/100 + M85^3/49931000,360))</f>
        <v>199.943655211748</v>
      </c>
      <c r="AO85" s="27" t="n">
        <f aca="false"> AN85 + (1.9146 - 0.004817*M85 - 0.000014*M85^2)*SIN(R85)+ (0.019993 - 0.000101*M85)*SIN(2*R85)+ 0.00029*SIN(3*R85)</f>
        <v>198.038580979058</v>
      </c>
      <c r="AP85" s="18" t="n">
        <f aca="false">ACOS(COS(X85-$A$4*AO85)*COS(Y85))/$A$4</f>
        <v>161.487710875167</v>
      </c>
      <c r="AQ85" s="25" t="n">
        <f aca="false">180 - AP85 -0.1468*(1-0.0549*SIN(R85))*SIN($A$4*AP85)/(1-0.0167*SIN($A$4*AO85))</f>
        <v>18.463389929032</v>
      </c>
      <c r="AR85" s="25" t="n">
        <f aca="false">SIN($A$4*AI85)</f>
        <v>0.861523550461841</v>
      </c>
      <c r="AS85" s="25" t="n">
        <f aca="false">COS($A$4*AI85)*SIN($A$4*$G$2) - TAN($A$4*AG85)*COS($A$4*$G$2)</f>
        <v>-0.0158458802622762</v>
      </c>
      <c r="AT85" s="25" t="n">
        <f aca="false">IF(OR(AND(AR85*AS85&gt;0), AND(AR85&lt;0,AS85&gt;0)), MOD(ATAN2(AS85,AR85)/$A$4+360,360),  ATAN2(AS85,AR85)/$A$4)</f>
        <v>91.0537143201004</v>
      </c>
      <c r="AU85" s="29" t="n">
        <f aca="false">(1+SIN($A$4*H85)*SIN($A$4*AJ85))*120*ASIN(0.272481*SIN($A$4*AJ85))/$A$4</f>
        <v>30.6815171089396</v>
      </c>
      <c r="AV85" s="10" t="n">
        <f aca="false">COS(X85)</f>
        <v>0.803436646712139</v>
      </c>
      <c r="AW85" s="10" t="n">
        <f aca="false">SIN(X85)</f>
        <v>0.595390254135851</v>
      </c>
      <c r="AX85" s="30" t="n">
        <f aca="false"> 385000.56 + (-20905355*COS(Q85) - 3699111*COS(2*S85-Q85) - 2955968*COS(2*S85) - 569925*COS(2*Q85) + (1-0.002516*M85)*48888*COS(R85) - 3149*COS(2*T85)  +246158*COS(2*S85-2*Q85) -(1-0.002516*M85)*152138*COS(2*S85-R85-Q85) -170733*COS(2*S85+Q85) -(1-0.002516*M85)*204586*COS(2*S85-R85) -(1-0.002516*M85)*129620*COS(R85-Q85)  + 108743*COS(S85) +(1-0.002516*M85)*104755*COS(R85+Q85) +10321*COS(2*S85-2*T85) +79661*COS(Q85-2*T85) -34782*COS(4*S85-Q85) -23210*COS(3*Q85)  -21636*COS(4*S85-2*Q85) +(1-0.002516*M85)*24208*COS(2*S85+R85-Q85) +(1-0.002516*M85)*30824*COS(2*S85+R85) -8379*COS(S85-Q85) -(1-0.002516*M85)*16675*COS(S85+R85)  -(1-0.002516*M85)*12831*COS(2*S85-R85+Q85) -10445*COS(2*S85+2*Q85) -11650*COS(4*S85) +14403*COS(2*S85-3*Q85) -(1-0.002516*M85)*7003*COS(R85-2*Q85)  + (1-0.002516*M85)*10056*COS(2*S85-R85-2*Q85) +6322*COS(S85+Q85) -(1-0.002516*M85)*(1-0.002516*M85)*9884*COS(2*S85-2*R85) +(1-0.002516*M85)*5751*COS(R85+2*Q85) -(1-0.002516*M85)*(1-0.002516*M85)*4950*COS(2*S85-2*R85-Q85)  +4130*COS(2*S85+Q85-2*T85) -(1-0.002516*M85)*3958*COS(4*S85-R85-Q85) +3258*COS(3*S85-Q85) +(1-0.002516*M85)*2616*COS(2*S85+R85+Q85) -(1-0.002516*M85)*1897*COS(4*S85-R85-2*Q85)  -(1-0.002516*M85)*(1-0.002516*M85)*2117*COS(2*R85-Q85) +(1-0.002516*M85)*(1-0.002516*M85)*2354*COS(2*S85+2*R85-Q85) -1423*COS(4*S85+Q85) -1117*COS(4*Q85) -(1-0.002516*M85)*1571*COS(4*S85-R85)  -1739*COS(S85-2*Q85) -4421*COS(2*Q85-2*T85) +(1-0.002516*M85)*(1-0.002516*M85)*1165*COS(2*R85+Q85) +8752*COS(2*S85-Q85-2*T85))/1000</f>
        <v>385898.978375359</v>
      </c>
      <c r="AY85" s="10" t="n">
        <f aca="false">AY84+1/8</f>
        <v>11.375</v>
      </c>
      <c r="AZ85" s="17" t="n">
        <f aca="false">AZ84+1</f>
        <v>84</v>
      </c>
      <c r="BA85" s="32" t="n">
        <f aca="false">ATAN(0.99664719*TAN($A$4*input!$E$2))</f>
        <v>-0.400219206115995</v>
      </c>
      <c r="BB85" s="32" t="n">
        <f aca="false">COS(BA85)</f>
        <v>0.920975608992155</v>
      </c>
      <c r="BC85" s="32" t="n">
        <f aca="false">0.99664719*SIN(BA85)</f>
        <v>-0.388313912533463</v>
      </c>
      <c r="BD85" s="32" t="n">
        <f aca="false">6378.14/AX85</f>
        <v>0.0165280043674955</v>
      </c>
      <c r="BE85" s="33" t="n">
        <f aca="false">MOD(N85-15*AH85,360)</f>
        <v>120.511920158555</v>
      </c>
      <c r="BF85" s="27" t="n">
        <f aca="false">COS($A$4*AG85)*SIN($A$4*BE85)</f>
        <v>0.839099457007814</v>
      </c>
      <c r="BG85" s="27" t="n">
        <f aca="false">COS($A$4*AG85)*COS($A$4*BE85)-BB85*BD85</f>
        <v>-0.509724414147116</v>
      </c>
      <c r="BH85" s="27" t="n">
        <f aca="false">SIN($A$4*AG85)-BC85*BD85</f>
        <v>0.233088197116628</v>
      </c>
      <c r="BI85" s="46" t="n">
        <f aca="false">SQRT(BF85^2+BG85^2+BH85^2)</f>
        <v>1.00907729375084</v>
      </c>
      <c r="BJ85" s="35" t="n">
        <f aca="false">AX85*BI85</f>
        <v>389401.896760219</v>
      </c>
    </row>
    <row r="86" customFormat="false" ht="15" hidden="false" customHeight="false" outlineLevel="0" collapsed="false">
      <c r="A86" s="20"/>
      <c r="B86" s="20"/>
      <c r="C86" s="15" t="n">
        <f aca="false">MOD(C85+3,24)</f>
        <v>12</v>
      </c>
      <c r="D86" s="17" t="n">
        <v>11</v>
      </c>
      <c r="E86" s="102" t="n">
        <f aca="false">input!$C$2</f>
        <v>10</v>
      </c>
      <c r="F86" s="102" t="n">
        <f aca="false">input!$D$2</f>
        <v>2022</v>
      </c>
      <c r="H86" s="39" t="n">
        <f aca="false">AM86</f>
        <v>-72.6231379517703</v>
      </c>
      <c r="I86" s="48" t="n">
        <f aca="false">H86+1.02/(TAN($A$4*(H86+10.3/(H86+5.11)))*60)</f>
        <v>-72.6284082324226</v>
      </c>
      <c r="J86" s="39" t="n">
        <f aca="false">100*(1+COS($A$4*AQ86))/2</f>
        <v>96.9965372327644</v>
      </c>
      <c r="K86" s="48" t="n">
        <f aca="false">IF(AI86&gt;180,AT86-180,AT86+180)</f>
        <v>241.267355589459</v>
      </c>
      <c r="L86" s="10" t="n">
        <f aca="false">L85+1/8</f>
        <v>2459864</v>
      </c>
      <c r="M86" s="49" t="n">
        <f aca="false">(L86-2451545)/36525</f>
        <v>0.22776180698152</v>
      </c>
      <c r="N86" s="15" t="n">
        <f aca="false">MOD(280.46061837+360.98564736629*(L86-2451545)+0.000387933*M86^2-M86^3/38710000+$G$4,360)</f>
        <v>200.06107866019</v>
      </c>
      <c r="O86" s="18" t="n">
        <f aca="false">0.60643382+1336.85522467*M86 - 0.00000313*M86^2 - INT(0.60643382+1336.85522467*M86 - 0.00000313*M86^2)</f>
        <v>0.0909953011542939</v>
      </c>
      <c r="P86" s="15" t="n">
        <f aca="false">22640*SIN(Q86)-4586*SIN(Q86-2*S86)+2370*SIN(2*S86)+769*SIN(2*Q86)-668*SIN(R86)-412*SIN(2*T86)-212*SIN(2*Q86-2*S86)-206*SIN(Q86+R86-2*S86)+192*SIN(Q86+2*S86)-165*SIN(R86-2*S86)-125*SIN(S86)-110*SIN(Q86+R86)+148*SIN(Q86-R86)-55*SIN(2*T86-2*S86)</f>
        <v>19479.7584682499</v>
      </c>
      <c r="Q86" s="18" t="n">
        <f aca="false">2*PI()*(0.374897+1325.55241*M86 - INT(0.374897+1325.55241*M86))</f>
        <v>1.79139362415779</v>
      </c>
      <c r="R86" s="26" t="n">
        <f aca="false">2*PI()*(0.99312619+99.99735956*M86 - 0.00000044*M86^2 - INT(0.99312619+99.99735956*M86- 0.00000044*M86^2))</f>
        <v>4.82991893941547</v>
      </c>
      <c r="S86" s="26" t="n">
        <f aca="false">2*PI()*(0.827361+1236.853086*M86 - INT(0.827361+1236.853086*M86))</f>
        <v>3.3631053338992</v>
      </c>
      <c r="T86" s="26" t="n">
        <f aca="false">2*PI()*(0.259086+1342.227825*M86 - INT(0.259086+1342.227825*M86))</f>
        <v>6.07785585595198</v>
      </c>
      <c r="U86" s="26" t="n">
        <f aca="false">T86+(P86+412*SIN(2*T86)+541*SIN(R86))/206264.8062</f>
        <v>6.16889424022176</v>
      </c>
      <c r="V86" s="26" t="n">
        <f aca="false">T86-2*S86</f>
        <v>-0.648354811846421</v>
      </c>
      <c r="W86" s="25" t="n">
        <f aca="false">-526*SIN(V86)+44*SIN(Q86+V86)-31*SIN(-Q86+V86)-23*SIN(R86+V86)+11*SIN(-R86+V86)-25*SIN(-2*Q86+T86)+21*SIN(-Q86+T86)</f>
        <v>371.267935386307</v>
      </c>
      <c r="X86" s="26" t="n">
        <f aca="false">2*PI()*(O86+P86/1296000-INT(O86+P86/1296000))</f>
        <v>0.66618087333621</v>
      </c>
      <c r="Y86" s="26" t="n">
        <f aca="false">(18520*SIN(U86)+W86)/206264.8062</f>
        <v>-0.00843962436270212</v>
      </c>
      <c r="Z86" s="26" t="n">
        <f aca="false">Y86*180/PI()</f>
        <v>-0.483554856658618</v>
      </c>
      <c r="AA86" s="26" t="n">
        <f aca="false">COS(Y86)*COS(X86)</f>
        <v>0.786159569131704</v>
      </c>
      <c r="AB86" s="26" t="n">
        <f aca="false">COS(Y86)*SIN(X86)</f>
        <v>0.617965942665421</v>
      </c>
      <c r="AC86" s="26" t="n">
        <f aca="false">SIN(Y86)</f>
        <v>-0.00843952417450666</v>
      </c>
      <c r="AD86" s="26" t="n">
        <f aca="false">COS($A$4*(23.4393-46.815*M86/3600))*AB86-SIN($A$4*(23.4393-46.815*M86/3600))*AC86</f>
        <v>0.570341986386739</v>
      </c>
      <c r="AE86" s="26" t="n">
        <f aca="false">SIN($A$4*(23.4393-46.815*M86/3600))*AB86+COS($A$4*(23.4393-46.815*M86/3600))*AC86</f>
        <v>0.238040228589798</v>
      </c>
      <c r="AF86" s="26" t="n">
        <f aca="false">SQRT(1-AE86*AE86)</f>
        <v>0.971255295775996</v>
      </c>
      <c r="AG86" s="10" t="n">
        <f aca="false">ATAN(AE86/AF86)/$A$4</f>
        <v>13.7709018838063</v>
      </c>
      <c r="AH86" s="26" t="n">
        <f aca="false">IF(24*ATAN(AD86/(AA86+AF86))/PI()&gt;0,24*ATAN(AD86/(AA86+AF86))/PI(),24*ATAN(AD86/(AA86+AF86))/PI()+24)</f>
        <v>2.39733892952011</v>
      </c>
      <c r="AI86" s="10" t="n">
        <f aca="false">IF(N86-15*AH86&gt;0,N86-15*AH86,360+N86-15*AH86)</f>
        <v>164.100994717388</v>
      </c>
      <c r="AJ86" s="18" t="n">
        <f aca="false">0.950724+0.051818*COS(Q86)+0.009531*COS(2*S86-Q86)+0.007843*COS(2*S86)+0.002824*COS(2*Q86)+0.000857*COS(2*S86+Q86)+0.000533*COS(2*S86-R86)+0.000401*COS(2*S86-R86-Q86)+0.00032*COS(Q86-R86)-0.000271*COS(S86)</f>
        <v>0.945666887656848</v>
      </c>
      <c r="AK86" s="50" t="n">
        <f aca="false">ASIN(COS($A$4*$G$2)*COS($A$4*AG86)*COS($A$4*AI86)+SIN($A$4*$G$2)*SIN($A$4*AG86))/$A$4</f>
        <v>-72.3363533168411</v>
      </c>
      <c r="AL86" s="18" t="n">
        <f aca="false">ASIN((0.9983271+0.0016764*COS($A$4*2*$G$2))*COS($A$4*AK86)*SIN($A$4*AJ86))/$A$4</f>
        <v>0.286784634929206</v>
      </c>
      <c r="AM86" s="18" t="n">
        <f aca="false">AK86-AL86</f>
        <v>-72.6231379517703</v>
      </c>
      <c r="AN86" s="10" t="n">
        <f aca="false"> IF(280.4664567 + 360007.6982779*M86/10 + 0.03032028*M86^2/100 + M86^3/49931000&lt;0,MOD(280.4664567 + 360007.6982779*M86/10 + 0.03032028*M86^2/100 + M86^3/49931000+360,360),MOD(280.4664567 + 360007.6982779*M86/10 + 0.03032028*M86^2/100 + M86^3/49931000,360))</f>
        <v>200.066861132233</v>
      </c>
      <c r="AO86" s="27" t="n">
        <f aca="false"> AN86 + (1.9146 - 0.004817*M86 - 0.000014*M86^2)*SIN(R86)+ (0.019993 - 0.000101*M86)*SIN(2*R86)+ 0.00029*SIN(3*R86)</f>
        <v>198.162180784918</v>
      </c>
      <c r="AP86" s="18" t="n">
        <f aca="false">ACOS(COS(X86-$A$4*AO86)*COS(Y86))/$A$4</f>
        <v>159.987225061795</v>
      </c>
      <c r="AQ86" s="25" t="n">
        <f aca="false">180 - AP86 -0.1468*(1-0.0549*SIN(R86))*SIN($A$4*AP86)/(1-0.0167*SIN($A$4*AO86))</f>
        <v>19.9600708665178</v>
      </c>
      <c r="AR86" s="25" t="n">
        <f aca="false">SIN($A$4*AI86)</f>
        <v>0.273942521770296</v>
      </c>
      <c r="AS86" s="25" t="n">
        <f aca="false">COS($A$4*AI86)*SIN($A$4*$G$2) - TAN($A$4*AG86)*COS($A$4*$G$2)</f>
        <v>0.150182075614589</v>
      </c>
      <c r="AT86" s="25" t="n">
        <f aca="false">IF(OR(AND(AR86*AS86&gt;0), AND(AR86&lt;0,AS86&gt;0)), MOD(ATAN2(AS86,AR86)/$A$4+360,360),  ATAN2(AS86,AR86)/$A$4)</f>
        <v>61.2673555894593</v>
      </c>
      <c r="AU86" s="29" t="n">
        <f aca="false">(1+SIN($A$4*H86)*SIN($A$4*AJ86))*120*ASIN(0.272481*SIN($A$4*AJ86))/$A$4</f>
        <v>30.4328324299987</v>
      </c>
      <c r="AV86" s="10" t="n">
        <f aca="false">COS(X86)</f>
        <v>0.786187567958427</v>
      </c>
      <c r="AW86" s="10" t="n">
        <f aca="false">SIN(X86)</f>
        <v>0.617987951328838</v>
      </c>
      <c r="AX86" s="30" t="n">
        <f aca="false"> 385000.56 + (-20905355*COS(Q86) - 3699111*COS(2*S86-Q86) - 2955968*COS(2*S86) - 569925*COS(2*Q86) + (1-0.002516*M86)*48888*COS(R86) - 3149*COS(2*T86)  +246158*COS(2*S86-2*Q86) -(1-0.002516*M86)*152138*COS(2*S86-R86-Q86) -170733*COS(2*S86+Q86) -(1-0.002516*M86)*204586*COS(2*S86-R86) -(1-0.002516*M86)*129620*COS(R86-Q86)  + 108743*COS(S86) +(1-0.002516*M86)*104755*COS(R86+Q86) +10321*COS(2*S86-2*T86) +79661*COS(Q86-2*T86) -34782*COS(4*S86-Q86) -23210*COS(3*Q86)  -21636*COS(4*S86-2*Q86) +(1-0.002516*M86)*24208*COS(2*S86+R86-Q86) +(1-0.002516*M86)*30824*COS(2*S86+R86) -8379*COS(S86-Q86) -(1-0.002516*M86)*16675*COS(S86+R86)  -(1-0.002516*M86)*12831*COS(2*S86-R86+Q86) -10445*COS(2*S86+2*Q86) -11650*COS(4*S86) +14403*COS(2*S86-3*Q86) -(1-0.002516*M86)*7003*COS(R86-2*Q86)  + (1-0.002516*M86)*10056*COS(2*S86-R86-2*Q86) +6322*COS(S86+Q86) -(1-0.002516*M86)*(1-0.002516*M86)*9884*COS(2*S86-2*R86) +(1-0.002516*M86)*5751*COS(R86+2*Q86) -(1-0.002516*M86)*(1-0.002516*M86)*4950*COS(2*S86-2*R86-Q86)  +4130*COS(2*S86+Q86-2*T86) -(1-0.002516*M86)*3958*COS(4*S86-R86-Q86) +3258*COS(3*S86-Q86) +(1-0.002516*M86)*2616*COS(2*S86+R86+Q86) -(1-0.002516*M86)*1897*COS(4*S86-R86-2*Q86)  -(1-0.002516*M86)*(1-0.002516*M86)*2117*COS(2*R86-Q86) +(1-0.002516*M86)*(1-0.002516*M86)*2354*COS(2*S86+2*R86-Q86) -1423*COS(4*S86+Q86) -1117*COS(4*Q86) -(1-0.002516*M86)*1571*COS(4*S86-R86)  -1739*COS(S86-2*Q86) -4421*COS(2*Q86-2*T86) +(1-0.002516*M86)*(1-0.002516*M86)*1165*COS(2*R86+Q86) +8752*COS(2*S86-Q86-2*T86))/1000</f>
        <v>386463.487785728</v>
      </c>
      <c r="AY86" s="10" t="n">
        <f aca="false">AY85+1/8</f>
        <v>11.5</v>
      </c>
      <c r="AZ86" s="17" t="n">
        <f aca="false">AZ85+1</f>
        <v>85</v>
      </c>
      <c r="BA86" s="32" t="n">
        <f aca="false">ATAN(0.99664719*TAN($A$4*input!$E$2))</f>
        <v>-0.400219206115995</v>
      </c>
      <c r="BB86" s="32" t="n">
        <f aca="false">COS(BA86)</f>
        <v>0.920975608992155</v>
      </c>
      <c r="BC86" s="32" t="n">
        <f aca="false">0.99664719*SIN(BA86)</f>
        <v>-0.388313912533463</v>
      </c>
      <c r="BD86" s="32" t="n">
        <f aca="false">6378.14/AX86</f>
        <v>0.0165038618176947</v>
      </c>
      <c r="BE86" s="33" t="n">
        <f aca="false">MOD(N86-15*AH86,360)</f>
        <v>164.100994717388</v>
      </c>
      <c r="BF86" s="27" t="n">
        <f aca="false">COS($A$4*AG86)*SIN($A$4*BE86)</f>
        <v>0.266068125007631</v>
      </c>
      <c r="BG86" s="27" t="n">
        <f aca="false">COS($A$4*AG86)*COS($A$4*BE86)-BB86*BD86</f>
        <v>-0.949300613628869</v>
      </c>
      <c r="BH86" s="27" t="n">
        <f aca="false">SIN($A$4*AG86)-BC86*BD86</f>
        <v>0.244448907744138</v>
      </c>
      <c r="BI86" s="46" t="n">
        <f aca="false">SQRT(BF86^2+BG86^2+BH86^2)</f>
        <v>1.01573577798487</v>
      </c>
      <c r="BJ86" s="35" t="n">
        <f aca="false">AX86*BI86</f>
        <v>392544.791428782</v>
      </c>
    </row>
    <row r="87" customFormat="false" ht="15" hidden="false" customHeight="false" outlineLevel="0" collapsed="false">
      <c r="A87" s="20"/>
      <c r="B87" s="20"/>
      <c r="C87" s="15" t="n">
        <f aca="false">MOD(C86+3,24)</f>
        <v>15</v>
      </c>
      <c r="D87" s="17" t="n">
        <v>11</v>
      </c>
      <c r="E87" s="102" t="n">
        <f aca="false">input!$C$2</f>
        <v>10</v>
      </c>
      <c r="F87" s="102" t="n">
        <f aca="false">input!$D$2</f>
        <v>2022</v>
      </c>
      <c r="H87" s="39" t="n">
        <f aca="false">AM87</f>
        <v>-62.9055362996571</v>
      </c>
      <c r="I87" s="48" t="n">
        <f aca="false">H87+1.02/(TAN($A$4*(H87+10.3/(H87+5.11)))*60)</f>
        <v>-62.9141669549289</v>
      </c>
      <c r="J87" s="39" t="n">
        <f aca="false">100*(1+COS($A$4*AQ87))/2</f>
        <v>96.5358279086751</v>
      </c>
      <c r="K87" s="48" t="n">
        <f aca="false">IF(AI87&gt;180,AT87-180,AT87+180)</f>
        <v>103.220184675899</v>
      </c>
      <c r="L87" s="10" t="n">
        <f aca="false">L86+1/8</f>
        <v>2459864.125</v>
      </c>
      <c r="M87" s="49" t="n">
        <f aca="false">(L87-2451545)/36525</f>
        <v>0.227765229295003</v>
      </c>
      <c r="N87" s="15" t="n">
        <f aca="false">MOD(280.46061837+360.98564736629*(L87-2451545)+0.000387933*M87^2-M87^3/38710000+$G$4,360)</f>
        <v>245.184284581803</v>
      </c>
      <c r="O87" s="18" t="n">
        <f aca="false">0.60643382+1336.85522467*M87 - 0.00000313*M87^2 - INT(0.60643382+1336.85522467*M87 - 0.00000313*M87^2)</f>
        <v>0.0955704388109098</v>
      </c>
      <c r="P87" s="15" t="n">
        <f aca="false">22640*SIN(Q87)-4586*SIN(Q87-2*S87)+2370*SIN(2*S87)+769*SIN(2*Q87)-668*SIN(R87)-412*SIN(2*T87)-212*SIN(2*Q87-2*S87)-206*SIN(Q87+R87-2*S87)+192*SIN(Q87+2*S87)-165*SIN(R87-2*S87)-125*SIN(S87)-110*SIN(Q87+R87)+148*SIN(Q87-R87)-55*SIN(2*T87-2*S87)</f>
        <v>19395.4211641119</v>
      </c>
      <c r="Q87" s="18" t="n">
        <f aca="false">2*PI()*(0.374897+1325.55241*M87 - INT(0.374897+1325.55241*M87))</f>
        <v>1.81989701712959</v>
      </c>
      <c r="R87" s="26" t="n">
        <f aca="false">2*PI()*(0.99312619+99.99735956*M87 - 0.00000044*M87^2 - INT(0.99312619+99.99735956*M87- 0.00000044*M87^2))</f>
        <v>4.83206918561355</v>
      </c>
      <c r="S87" s="26" t="n">
        <f aca="false">2*PI()*(0.827361+1236.853086*M87 - INT(0.827361+1236.853086*M87))</f>
        <v>3.38970142266412</v>
      </c>
      <c r="T87" s="26" t="n">
        <f aca="false">2*PI()*(0.259086+1342.227825*M87 - INT(0.259086+1342.227825*M87))</f>
        <v>6.10671782086939</v>
      </c>
      <c r="U87" s="26" t="n">
        <f aca="false">T87+(P87+412*SIN(2*T87)+541*SIN(R87))/206264.8062</f>
        <v>6.19745497651339</v>
      </c>
      <c r="V87" s="26" t="n">
        <f aca="false">T87-2*S87</f>
        <v>-0.672685024458863</v>
      </c>
      <c r="W87" s="25" t="n">
        <f aca="false">-526*SIN(V87)+44*SIN(Q87+V87)-31*SIN(-Q87+V87)-23*SIN(R87+V87)+11*SIN(-R87+V87)-25*SIN(-2*Q87+T87)+21*SIN(-Q87+T87)</f>
        <v>379.144947279433</v>
      </c>
      <c r="X87" s="26" t="n">
        <f aca="false">2*PI()*(O87+P87/1296000-INT(O87+P87/1296000))</f>
        <v>0.694518432249843</v>
      </c>
      <c r="Y87" s="26" t="n">
        <f aca="false">(18520*SIN(U87)+W87)/206264.8062</f>
        <v>-0.00584993936486188</v>
      </c>
      <c r="Z87" s="26" t="n">
        <f aca="false">Y87*180/PI()</f>
        <v>-0.335176836014027</v>
      </c>
      <c r="AA87" s="26" t="n">
        <f aca="false">COS(Y87)*COS(X87)</f>
        <v>0.768348854372534</v>
      </c>
      <c r="AB87" s="26" t="n">
        <f aca="false">COS(Y87)*SIN(X87)</f>
        <v>0.640004544190288</v>
      </c>
      <c r="AC87" s="26" t="n">
        <f aca="false">SIN(Y87)</f>
        <v>-0.005849905999019</v>
      </c>
      <c r="AD87" s="26" t="n">
        <f aca="false">COS($A$4*(23.4393-46.815*M87/3600))*AB87-SIN($A$4*(23.4393-46.815*M87/3600))*AC87</f>
        <v>0.589532491440616</v>
      </c>
      <c r="AE87" s="26" t="n">
        <f aca="false">SIN($A$4*(23.4393-46.815*M87/3600))*AB87+COS($A$4*(23.4393-46.815*M87/3600))*AC87</f>
        <v>0.24918161954734</v>
      </c>
      <c r="AF87" s="26" t="n">
        <f aca="false">SQRT(1-AE87*AE87)</f>
        <v>0.968456772643862</v>
      </c>
      <c r="AG87" s="10" t="n">
        <f aca="false">ATAN(AE87/AF87)/$A$4</f>
        <v>14.4290899418952</v>
      </c>
      <c r="AH87" s="26" t="n">
        <f aca="false">IF(24*ATAN(AD87/(AA87+AF87))/PI()&gt;0,24*ATAN(AD87/(AA87+AF87))/PI(),24*ATAN(AD87/(AA87+AF87))/PI()+24)</f>
        <v>2.49986757479561</v>
      </c>
      <c r="AI87" s="10" t="n">
        <f aca="false">IF(N87-15*AH87&gt;0,N87-15*AH87,360+N87-15*AH87)</f>
        <v>207.686270959869</v>
      </c>
      <c r="AJ87" s="18" t="n">
        <f aca="false">0.950724+0.051818*COS(Q87)+0.009531*COS(2*S87-Q87)+0.007843*COS(2*S87)+0.002824*COS(2*Q87)+0.000857*COS(2*S87+Q87)+0.000533*COS(2*S87-R87)+0.000401*COS(2*S87-R87-Q87)+0.00032*COS(Q87-R87)-0.000271*COS(S87)</f>
        <v>0.944262798200332</v>
      </c>
      <c r="AK87" s="50" t="n">
        <f aca="false">ASIN(COS($A$4*$G$2)*COS($A$4*AG87)*COS($A$4*AI87)+SIN($A$4*$G$2)*SIN($A$4*AG87))/$A$4</f>
        <v>-62.4693131511521</v>
      </c>
      <c r="AL87" s="18" t="n">
        <f aca="false">ASIN((0.9983271+0.0016764*COS($A$4*2*$G$2))*COS($A$4*AK87)*SIN($A$4*AJ87))/$A$4</f>
        <v>0.436223148504926</v>
      </c>
      <c r="AM87" s="18" t="n">
        <f aca="false">AK87-AL87</f>
        <v>-62.9055362996571</v>
      </c>
      <c r="AN87" s="10" t="n">
        <f aca="false"> IF(280.4664567 + 360007.6982779*M87/10 + 0.03032028*M87^2/100 + M87^3/49931000&lt;0,MOD(280.4664567 + 360007.6982779*M87/10 + 0.03032028*M87^2/100 + M87^3/49931000+360,360),MOD(280.4664567 + 360007.6982779*M87/10 + 0.03032028*M87^2/100 + M87^3/49931000,360))</f>
        <v>200.190067052718</v>
      </c>
      <c r="AO87" s="27" t="n">
        <f aca="false"> AN87 + (1.9146 - 0.004817*M87 - 0.000014*M87^2)*SIN(R87)+ (0.019993 - 0.000101*M87)*SIN(2*R87)+ 0.00029*SIN(3*R87)</f>
        <v>198.285789451617</v>
      </c>
      <c r="AP87" s="18" t="n">
        <f aca="false">ACOS(COS(X87-$A$4*AO87)*COS(Y87))/$A$4</f>
        <v>158.490326703943</v>
      </c>
      <c r="AQ87" s="25" t="n">
        <f aca="false">180 - AP87 -0.1468*(1-0.0549*SIN(R87))*SIN($A$4*AP87)/(1-0.0167*SIN($A$4*AO87))</f>
        <v>21.4532098318907</v>
      </c>
      <c r="AR87" s="25" t="n">
        <f aca="false">SIN($A$4*AI87)</f>
        <v>-0.464629877058709</v>
      </c>
      <c r="AS87" s="25" t="n">
        <f aca="false">COS($A$4*AI87)*SIN($A$4*$G$2) - TAN($A$4*AG87)*COS($A$4*$G$2)</f>
        <v>0.109150656806057</v>
      </c>
      <c r="AT87" s="25" t="n">
        <f aca="false">IF(OR(AND(AR87*AS87&gt;0), AND(AR87&lt;0,AS87&gt;0)), MOD(ATAN2(AS87,AR87)/$A$4+360,360),  ATAN2(AS87,AR87)/$A$4)</f>
        <v>283.220184675899</v>
      </c>
      <c r="AU87" s="29" t="n">
        <f aca="false">(1+SIN($A$4*H87)*SIN($A$4*AJ87))*120*ASIN(0.272481*SIN($A$4*AJ87))/$A$4</f>
        <v>30.4209885874247</v>
      </c>
      <c r="AV87" s="10" t="n">
        <f aca="false">COS(X87)</f>
        <v>0.768362001696793</v>
      </c>
      <c r="AW87" s="10" t="n">
        <f aca="false">SIN(X87)</f>
        <v>0.64001549539718</v>
      </c>
      <c r="AX87" s="30" t="n">
        <f aca="false"> 385000.56 + (-20905355*COS(Q87) - 3699111*COS(2*S87-Q87) - 2955968*COS(2*S87) - 569925*COS(2*Q87) + (1-0.002516*M87)*48888*COS(R87) - 3149*COS(2*T87)  +246158*COS(2*S87-2*Q87) -(1-0.002516*M87)*152138*COS(2*S87-R87-Q87) -170733*COS(2*S87+Q87) -(1-0.002516*M87)*204586*COS(2*S87-R87) -(1-0.002516*M87)*129620*COS(R87-Q87)  + 108743*COS(S87) +(1-0.002516*M87)*104755*COS(R87+Q87) +10321*COS(2*S87-2*T87) +79661*COS(Q87-2*T87) -34782*COS(4*S87-Q87) -23210*COS(3*Q87)  -21636*COS(4*S87-2*Q87) +(1-0.002516*M87)*24208*COS(2*S87+R87-Q87) +(1-0.002516*M87)*30824*COS(2*S87+R87) -8379*COS(S87-Q87) -(1-0.002516*M87)*16675*COS(S87+R87)  -(1-0.002516*M87)*12831*COS(2*S87-R87+Q87) -10445*COS(2*S87+2*Q87) -11650*COS(4*S87) +14403*COS(2*S87-3*Q87) -(1-0.002516*M87)*7003*COS(R87-2*Q87)  + (1-0.002516*M87)*10056*COS(2*S87-R87-2*Q87) +6322*COS(S87+Q87) -(1-0.002516*M87)*(1-0.002516*M87)*9884*COS(2*S87-2*R87) +(1-0.002516*M87)*5751*COS(R87+2*Q87) -(1-0.002516*M87)*(1-0.002516*M87)*4950*COS(2*S87-2*R87-Q87)  +4130*COS(2*S87+Q87-2*T87) -(1-0.002516*M87)*3958*COS(4*S87-R87-Q87) +3258*COS(3*S87-Q87) +(1-0.002516*M87)*2616*COS(2*S87+R87+Q87) -(1-0.002516*M87)*1897*COS(4*S87-R87-2*Q87)  -(1-0.002516*M87)*(1-0.002516*M87)*2117*COS(2*R87-Q87) +(1-0.002516*M87)*(1-0.002516*M87)*2354*COS(2*S87+2*R87-Q87) -1423*COS(4*S87+Q87) -1117*COS(4*Q87) -(1-0.002516*M87)*1571*COS(4*S87-R87)  -1739*COS(S87-2*Q87) -4421*COS(2*Q87-2*T87) +(1-0.002516*M87)*(1-0.002516*M87)*1165*COS(2*R87+Q87) +8752*COS(2*S87-Q87-2*T87))/1000</f>
        <v>387029.858401368</v>
      </c>
      <c r="AY87" s="10" t="n">
        <f aca="false">AY86+1/8</f>
        <v>11.625</v>
      </c>
      <c r="AZ87" s="17" t="n">
        <f aca="false">AZ86+1</f>
        <v>86</v>
      </c>
      <c r="BA87" s="32" t="n">
        <f aca="false">ATAN(0.99664719*TAN($A$4*input!$E$2))</f>
        <v>-0.400219206115995</v>
      </c>
      <c r="BB87" s="32" t="n">
        <f aca="false">COS(BA87)</f>
        <v>0.920975608992155</v>
      </c>
      <c r="BC87" s="32" t="n">
        <f aca="false">0.99664719*SIN(BA87)</f>
        <v>-0.388313912533463</v>
      </c>
      <c r="BD87" s="32" t="n">
        <f aca="false">6378.14/AX87</f>
        <v>0.0164797104449383</v>
      </c>
      <c r="BE87" s="33" t="n">
        <f aca="false">MOD(N87-15*AH87,360)</f>
        <v>207.686270959869</v>
      </c>
      <c r="BF87" s="27" t="n">
        <f aca="false">COS($A$4*AG87)*SIN($A$4*BE87)</f>
        <v>-0.449973951210191</v>
      </c>
      <c r="BG87" s="27" t="n">
        <f aca="false">COS($A$4*AG87)*COS($A$4*BE87)-BB87*BD87</f>
        <v>-0.872750710686226</v>
      </c>
      <c r="BH87" s="27" t="n">
        <f aca="false">SIN($A$4*AG87)-BC87*BD87</f>
        <v>0.255580920387633</v>
      </c>
      <c r="BI87" s="46" t="n">
        <f aca="false">SQRT(BF87^2+BG87^2+BH87^2)</f>
        <v>1.01463883556525</v>
      </c>
      <c r="BJ87" s="35" t="n">
        <f aca="false">AX87*BI87</f>
        <v>392695.524857349</v>
      </c>
    </row>
    <row r="88" customFormat="false" ht="15" hidden="false" customHeight="false" outlineLevel="0" collapsed="false">
      <c r="A88" s="20"/>
      <c r="B88" s="20"/>
      <c r="C88" s="15" t="n">
        <f aca="false">MOD(C87+3,24)</f>
        <v>18</v>
      </c>
      <c r="D88" s="17" t="n">
        <v>11</v>
      </c>
      <c r="E88" s="102" t="n">
        <f aca="false">input!$C$2</f>
        <v>10</v>
      </c>
      <c r="F88" s="102" t="n">
        <f aca="false">input!$D$2</f>
        <v>2022</v>
      </c>
      <c r="H88" s="39" t="n">
        <f aca="false">AM88</f>
        <v>-23.6412848094841</v>
      </c>
      <c r="I88" s="48" t="n">
        <f aca="false">H88+1.02/(TAN($A$4*(H88+10.3/(H88+5.11)))*60)</f>
        <v>-23.6791166432415</v>
      </c>
      <c r="J88" s="39" t="n">
        <f aca="false">100*(1+COS($A$4*AQ88))/2</f>
        <v>96.0448323645189</v>
      </c>
      <c r="K88" s="48" t="n">
        <f aca="false">IF(AI88&gt;180,AT88-180,AT88+180)</f>
        <v>82.6319235261304</v>
      </c>
      <c r="L88" s="10" t="n">
        <f aca="false">L87+1/8</f>
        <v>2459864.25</v>
      </c>
      <c r="M88" s="49" t="n">
        <f aca="false">(L88-2451545)/36525</f>
        <v>0.227768651608487</v>
      </c>
      <c r="N88" s="15" t="n">
        <f aca="false">MOD(280.46061837+360.98564736629*(L88-2451545)+0.000387933*M88^2-M88^3/38710000+$G$4,360)</f>
        <v>290.30749050295</v>
      </c>
      <c r="O88" s="18" t="n">
        <f aca="false">0.60643382+1336.85522467*M88 - 0.00000313*M88^2 - INT(0.60643382+1336.85522467*M88 - 0.00000313*M88^2)</f>
        <v>0.100145576467469</v>
      </c>
      <c r="P88" s="15" t="n">
        <f aca="false">22640*SIN(Q88)-4586*SIN(Q88-2*S88)+2370*SIN(2*S88)+769*SIN(2*Q88)-668*SIN(R88)-412*SIN(2*T88)-212*SIN(2*Q88-2*S88)-206*SIN(Q88+R88-2*S88)+192*SIN(Q88+2*S88)-165*SIN(R88-2*S88)-125*SIN(S88)-110*SIN(Q88+R88)+148*SIN(Q88-R88)-55*SIN(2*T88-2*S88)</f>
        <v>19292.1677265634</v>
      </c>
      <c r="Q88" s="18" t="n">
        <f aca="false">2*PI()*(0.374897+1325.55241*M88 - INT(0.374897+1325.55241*M88))</f>
        <v>1.84840041010139</v>
      </c>
      <c r="R88" s="26" t="n">
        <f aca="false">2*PI()*(0.99312619+99.99735956*M88 - 0.00000044*M88^2 - INT(0.99312619+99.99735956*M88- 0.00000044*M88^2))</f>
        <v>4.83421943181165</v>
      </c>
      <c r="S88" s="26" t="n">
        <f aca="false">2*PI()*(0.827361+1236.853086*M88 - INT(0.827361+1236.853086*M88))</f>
        <v>3.41629751142869</v>
      </c>
      <c r="T88" s="26" t="n">
        <f aca="false">2*PI()*(0.259086+1342.227825*M88 - INT(0.259086+1342.227825*M88))</f>
        <v>6.13557978578715</v>
      </c>
      <c r="U88" s="26" t="n">
        <f aca="false">T88+(P88+412*SIN(2*T88)+541*SIN(R88))/206264.8062</f>
        <v>6.2259263167168</v>
      </c>
      <c r="V88" s="26" t="n">
        <f aca="false">T88-2*S88</f>
        <v>-0.697015237070235</v>
      </c>
      <c r="W88" s="25" t="n">
        <f aca="false">-526*SIN(V88)+44*SIN(Q88+V88)-31*SIN(-Q88+V88)-23*SIN(R88+V88)+11*SIN(-R88+V88)-25*SIN(-2*Q88+T88)+21*SIN(-Q88+T88)</f>
        <v>386.772298340537</v>
      </c>
      <c r="X88" s="26" t="n">
        <f aca="false">2*PI()*(O88+P88/1296000-INT(O88+P88/1296000))</f>
        <v>0.722764283160408</v>
      </c>
      <c r="Y88" s="26" t="n">
        <f aca="false">(18520*SIN(U88)+W88)/206264.8062</f>
        <v>-0.00326320740787392</v>
      </c>
      <c r="Z88" s="26" t="n">
        <f aca="false">Y88*180/PI()</f>
        <v>-0.186968012147001</v>
      </c>
      <c r="AA88" s="26" t="n">
        <f aca="false">COS(Y88)*COS(X88)</f>
        <v>0.749976140060386</v>
      </c>
      <c r="AB88" s="26" t="n">
        <f aca="false">COS(Y88)*SIN(X88)</f>
        <v>0.661456832193405</v>
      </c>
      <c r="AC88" s="26" t="n">
        <f aca="false">SIN(Y88)</f>
        <v>-0.00326320161648738</v>
      </c>
      <c r="AD88" s="26" t="n">
        <f aca="false">COS($A$4*(23.4393-46.815*M88/3600))*AB88-SIN($A$4*(23.4393-46.815*M88/3600))*AC88</f>
        <v>0.608186211255666</v>
      </c>
      <c r="AE88" s="26" t="n">
        <f aca="false">SIN($A$4*(23.4393-46.815*M88/3600))*AB88+COS($A$4*(23.4393-46.815*M88/3600))*AC88</f>
        <v>0.260087142662997</v>
      </c>
      <c r="AF88" s="26" t="n">
        <f aca="false">SQRT(1-AE88*AE88)</f>
        <v>0.965585148094873</v>
      </c>
      <c r="AG88" s="10" t="n">
        <f aca="false">ATAN(AE88/AF88)/$A$4</f>
        <v>15.0752329432766</v>
      </c>
      <c r="AH88" s="26" t="n">
        <f aca="false">IF(24*ATAN(AD88/(AA88+AF88))/PI()&gt;0,24*ATAN(AD88/(AA88+AF88))/PI(),24*ATAN(AD88/(AA88+AF88))/PI()+24)</f>
        <v>2.60266696178711</v>
      </c>
      <c r="AI88" s="10" t="n">
        <f aca="false">IF(N88-15*AH88&gt;0,N88-15*AH88,360+N88-15*AH88)</f>
        <v>251.267486076143</v>
      </c>
      <c r="AJ88" s="18" t="n">
        <f aca="false">0.950724+0.051818*COS(Q88)+0.009531*COS(2*S88-Q88)+0.007843*COS(2*S88)+0.002824*COS(2*Q88)+0.000857*COS(2*S88+Q88)+0.000533*COS(2*S88-R88)+0.000401*COS(2*S88-R88-Q88)+0.00032*COS(Q88-R88)-0.000271*COS(S88)</f>
        <v>0.942860435525952</v>
      </c>
      <c r="AK88" s="50" t="n">
        <f aca="false">ASIN(COS($A$4*$G$2)*COS($A$4*AG88)*COS($A$4*AI88)+SIN($A$4*$G$2)*SIN($A$4*AG88))/$A$4</f>
        <v>-22.7723682845226</v>
      </c>
      <c r="AL88" s="18" t="n">
        <f aca="false">ASIN((0.9983271+0.0016764*COS($A$4*2*$G$2))*COS($A$4*AK88)*SIN($A$4*AJ88))/$A$4</f>
        <v>0.868916524961489</v>
      </c>
      <c r="AM88" s="18" t="n">
        <f aca="false">AK88-AL88</f>
        <v>-23.6412848094841</v>
      </c>
      <c r="AN88" s="10" t="n">
        <f aca="false"> IF(280.4664567 + 360007.6982779*M88/10 + 0.03032028*M88^2/100 + M88^3/49931000&lt;0,MOD(280.4664567 + 360007.6982779*M88/10 + 0.03032028*M88^2/100 + M88^3/49931000+360,360),MOD(280.4664567 + 360007.6982779*M88/10 + 0.03032028*M88^2/100 + M88^3/49931000,360))</f>
        <v>200.313272973202</v>
      </c>
      <c r="AO88" s="27" t="n">
        <f aca="false"> AN88 + (1.9146 - 0.004817*M88 - 0.000014*M88^2)*SIN(R88)+ (0.019993 - 0.000101*M88)*SIN(2*R88)+ 0.00029*SIN(3*R88)</f>
        <v>198.409406978474</v>
      </c>
      <c r="AP88" s="18" t="n">
        <f aca="false">ACOS(COS(X88-$A$4*AO88)*COS(Y88))/$A$4</f>
        <v>156.997345378441</v>
      </c>
      <c r="AQ88" s="25" t="n">
        <f aca="false">180 - AP88 -0.1468*(1-0.0549*SIN(R88))*SIN($A$4*AP88)/(1-0.0167*SIN($A$4*AO88))</f>
        <v>22.9424803593143</v>
      </c>
      <c r="AR88" s="25" t="n">
        <f aca="false">SIN($A$4*AI88)</f>
        <v>-0.947028185377187</v>
      </c>
      <c r="AS88" s="25" t="n">
        <f aca="false">COS($A$4*AI88)*SIN($A$4*$G$2) - TAN($A$4*AG88)*COS($A$4*$G$2)</f>
        <v>-0.122460968100918</v>
      </c>
      <c r="AT88" s="25" t="n">
        <f aca="false">IF(OR(AND(AR88*AS88&gt;0), AND(AR88&lt;0,AS88&gt;0)), MOD(ATAN2(AS88,AR88)/$A$4+360,360),  ATAN2(AS88,AR88)/$A$4)</f>
        <v>262.63192352613</v>
      </c>
      <c r="AU88" s="29" t="n">
        <f aca="false">(1+SIN($A$4*H88)*SIN($A$4*AJ88))*120*ASIN(0.272481*SIN($A$4*AJ88))/$A$4</f>
        <v>30.6246724861124</v>
      </c>
      <c r="AV88" s="10" t="n">
        <f aca="false">COS(X88)</f>
        <v>0.749980133147037</v>
      </c>
      <c r="AW88" s="10" t="n">
        <f aca="false">SIN(X88)</f>
        <v>0.66146035397804</v>
      </c>
      <c r="AX88" s="30" t="n">
        <f aca="false"> 385000.56 + (-20905355*COS(Q88) - 3699111*COS(2*S88-Q88) - 2955968*COS(2*S88) - 569925*COS(2*Q88) + (1-0.002516*M88)*48888*COS(R88) - 3149*COS(2*T88)  +246158*COS(2*S88-2*Q88) -(1-0.002516*M88)*152138*COS(2*S88-R88-Q88) -170733*COS(2*S88+Q88) -(1-0.002516*M88)*204586*COS(2*S88-R88) -(1-0.002516*M88)*129620*COS(R88-Q88)  + 108743*COS(S88) +(1-0.002516*M88)*104755*COS(R88+Q88) +10321*COS(2*S88-2*T88) +79661*COS(Q88-2*T88) -34782*COS(4*S88-Q88) -23210*COS(3*Q88)  -21636*COS(4*S88-2*Q88) +(1-0.002516*M88)*24208*COS(2*S88+R88-Q88) +(1-0.002516*M88)*30824*COS(2*S88+R88) -8379*COS(S88-Q88) -(1-0.002516*M88)*16675*COS(S88+R88)  -(1-0.002516*M88)*12831*COS(2*S88-R88+Q88) -10445*COS(2*S88+2*Q88) -11650*COS(4*S88) +14403*COS(2*S88-3*Q88) -(1-0.002516*M88)*7003*COS(R88-2*Q88)  + (1-0.002516*M88)*10056*COS(2*S88-R88-2*Q88) +6322*COS(S88+Q88) -(1-0.002516*M88)*(1-0.002516*M88)*9884*COS(2*S88-2*R88) +(1-0.002516*M88)*5751*COS(R88+2*Q88) -(1-0.002516*M88)*(1-0.002516*M88)*4950*COS(2*S88-2*R88-Q88)  +4130*COS(2*S88+Q88-2*T88) -(1-0.002516*M88)*3958*COS(4*S88-R88-Q88) +3258*COS(3*S88-Q88) +(1-0.002516*M88)*2616*COS(2*S88+R88+Q88) -(1-0.002516*M88)*1897*COS(4*S88-R88-2*Q88)  -(1-0.002516*M88)*(1-0.002516*M88)*2117*COS(2*R88-Q88) +(1-0.002516*M88)*(1-0.002516*M88)*2354*COS(2*S88+2*R88-Q88) -1423*COS(4*S88+Q88) -1117*COS(4*Q88) -(1-0.002516*M88)*1571*COS(4*S88-R88)  -1739*COS(S88-2*Q88) -4421*COS(2*Q88-2*T88) +(1-0.002516*M88)*(1-0.002516*M88)*1165*COS(2*R88+Q88) +8752*COS(2*S88-Q88-2*T88))/1000</f>
        <v>387597.444394932</v>
      </c>
      <c r="AY88" s="10" t="n">
        <f aca="false">AY87+1/8</f>
        <v>11.75</v>
      </c>
      <c r="AZ88" s="17" t="n">
        <f aca="false">AZ87+1</f>
        <v>87</v>
      </c>
      <c r="BA88" s="32" t="n">
        <f aca="false">ATAN(0.99664719*TAN($A$4*input!$E$2))</f>
        <v>-0.400219206115995</v>
      </c>
      <c r="BB88" s="32" t="n">
        <f aca="false">COS(BA88)</f>
        <v>0.920975608992155</v>
      </c>
      <c r="BC88" s="32" t="n">
        <f aca="false">0.99664719*SIN(BA88)</f>
        <v>-0.388313912533463</v>
      </c>
      <c r="BD88" s="32" t="n">
        <f aca="false">6378.14/AX88</f>
        <v>0.0164555780545889</v>
      </c>
      <c r="BE88" s="33" t="n">
        <f aca="false">MOD(N88-15*AH88,360)</f>
        <v>251.267486076143</v>
      </c>
      <c r="BF88" s="27" t="n">
        <f aca="false">COS($A$4*AG88)*SIN($A$4*BE88)</f>
        <v>-0.91443635062745</v>
      </c>
      <c r="BG88" s="27" t="n">
        <f aca="false">COS($A$4*AG88)*COS($A$4*BE88)-BB88*BD88</f>
        <v>-0.325253297708282</v>
      </c>
      <c r="BH88" s="27" t="n">
        <f aca="false">SIN($A$4*AG88)-BC88*BD88</f>
        <v>0.266477072560374</v>
      </c>
      <c r="BI88" s="46" t="n">
        <f aca="false">SQRT(BF88^2+BG88^2+BH88^2)</f>
        <v>1.00647582048418</v>
      </c>
      <c r="BJ88" s="35" t="n">
        <f aca="false">AX88*BI88</f>
        <v>390107.455864962</v>
      </c>
    </row>
    <row r="89" customFormat="false" ht="15" hidden="false" customHeight="false" outlineLevel="0" collapsed="false">
      <c r="A89" s="20"/>
      <c r="B89" s="20"/>
      <c r="C89" s="15" t="n">
        <f aca="false">MOD(C88+3,24)</f>
        <v>21</v>
      </c>
      <c r="D89" s="17" t="n">
        <v>11</v>
      </c>
      <c r="E89" s="102" t="n">
        <f aca="false">input!$C$2</f>
        <v>10</v>
      </c>
      <c r="F89" s="102" t="n">
        <f aca="false">input!$D$2</f>
        <v>2022</v>
      </c>
      <c r="H89" s="39" t="n">
        <f aca="false">AM89</f>
        <v>14.5502966755329</v>
      </c>
      <c r="I89" s="48" t="n">
        <f aca="false">H89+1.02/(TAN($A$4*(H89+10.3/(H89+5.11)))*60)</f>
        <v>14.6134144879139</v>
      </c>
      <c r="J89" s="39" t="n">
        <f aca="false">100*(1+COS($A$4*AQ89))/2</f>
        <v>95.5242119618824</v>
      </c>
      <c r="K89" s="48" t="n">
        <f aca="false">IF(AI89&gt;180,AT89-180,AT89+180)</f>
        <v>65.0045423791038</v>
      </c>
      <c r="L89" s="10" t="n">
        <f aca="false">L88+1/8</f>
        <v>2459864.375</v>
      </c>
      <c r="M89" s="49" t="n">
        <f aca="false">(L89-2451545)/36525</f>
        <v>0.227772073921971</v>
      </c>
      <c r="N89" s="15" t="n">
        <f aca="false">MOD(280.46061837+360.98564736629*(L89-2451545)+0.000387933*M89^2-M89^3/38710000+$G$4,360)</f>
        <v>335.430696424563</v>
      </c>
      <c r="O89" s="18" t="n">
        <f aca="false">0.60643382+1336.85522467*M89 - 0.00000313*M89^2 - INT(0.60643382+1336.85522467*M89 - 0.00000313*M89^2)</f>
        <v>0.104720714123971</v>
      </c>
      <c r="P89" s="15" t="n">
        <f aca="false">22640*SIN(Q89)-4586*SIN(Q89-2*S89)+2370*SIN(2*S89)+769*SIN(2*Q89)-668*SIN(R89)-412*SIN(2*T89)-212*SIN(2*Q89-2*S89)-206*SIN(Q89+R89-2*S89)+192*SIN(Q89+2*S89)-165*SIN(R89-2*S89)-125*SIN(S89)-110*SIN(Q89+R89)+148*SIN(Q89-R89)-55*SIN(2*T89-2*S89)</f>
        <v>19170.0897845517</v>
      </c>
      <c r="Q89" s="18" t="n">
        <f aca="false">2*PI()*(0.374897+1325.55241*M89 - INT(0.374897+1325.55241*M89))</f>
        <v>1.87690380307354</v>
      </c>
      <c r="R89" s="26" t="n">
        <f aca="false">2*PI()*(0.99312619+99.99735956*M89 - 0.00000044*M89^2 - INT(0.99312619+99.99735956*M89- 0.00000044*M89^2))</f>
        <v>4.83636967800975</v>
      </c>
      <c r="S89" s="26" t="n">
        <f aca="false">2*PI()*(0.827361+1236.853086*M89 - INT(0.827361+1236.853086*M89))</f>
        <v>3.44289360019361</v>
      </c>
      <c r="T89" s="26" t="n">
        <f aca="false">2*PI()*(0.259086+1342.227825*M89 - INT(0.259086+1342.227825*M89))</f>
        <v>6.16444175070455</v>
      </c>
      <c r="U89" s="26" t="n">
        <f aca="false">T89+(P89+412*SIN(2*T89)+541*SIN(R89))/206264.8062</f>
        <v>6.25430834102326</v>
      </c>
      <c r="V89" s="26" t="n">
        <f aca="false">T89-2*S89</f>
        <v>-0.721345449682678</v>
      </c>
      <c r="W89" s="25" t="n">
        <f aca="false">-526*SIN(V89)+44*SIN(Q89+V89)-31*SIN(-Q89+V89)-23*SIN(R89+V89)+11*SIN(-R89+V89)-25*SIN(-2*Q89+T89)+21*SIN(-Q89+T89)</f>
        <v>394.148544677934</v>
      </c>
      <c r="X89" s="26" t="n">
        <f aca="false">2*PI()*(O89+P89/1296000-INT(O89+P89/1296000))</f>
        <v>0.750918870297576</v>
      </c>
      <c r="Y89" s="26" t="n">
        <f aca="false">(18520*SIN(U89)+W89)/206264.8062</f>
        <v>-0.000681544019065836</v>
      </c>
      <c r="Z89" s="26" t="n">
        <f aca="false">Y89*180/PI()</f>
        <v>-0.0390495958448561</v>
      </c>
      <c r="AA89" s="26" t="n">
        <f aca="false">COS(Y89)*COS(X89)</f>
        <v>0.731062052670969</v>
      </c>
      <c r="AB89" s="26" t="n">
        <f aca="false">COS(Y89)*SIN(X89)</f>
        <v>0.682310640868462</v>
      </c>
      <c r="AC89" s="26" t="n">
        <f aca="false">SIN(Y89)</f>
        <v>-0.000681543966302715</v>
      </c>
      <c r="AD89" s="26" t="n">
        <f aca="false">COS($A$4*(23.4393-46.815*M89/3600))*AB89-SIN($A$4*(23.4393-46.815*M89/3600))*AC89</f>
        <v>0.626292832006573</v>
      </c>
      <c r="AE89" s="26" t="n">
        <f aca="false">SIN($A$4*(23.4393-46.815*M89/3600))*AB89+COS($A$4*(23.4393-46.815*M89/3600))*AC89</f>
        <v>0.270750002256133</v>
      </c>
      <c r="AF89" s="26" t="n">
        <f aca="false">SQRT(1-AE89*AE89)</f>
        <v>0.962649695516653</v>
      </c>
      <c r="AG89" s="10" t="n">
        <f aca="false">ATAN(AE89/AF89)/$A$4</f>
        <v>15.7089012197579</v>
      </c>
      <c r="AH89" s="26" t="n">
        <f aca="false">IF(24*ATAN(AD89/(AA89+AF89))/PI()&gt;0,24*ATAN(AD89/(AA89+AF89))/PI(),24*ATAN(AD89/(AA89+AF89))/PI()+24)</f>
        <v>2.70575341865313</v>
      </c>
      <c r="AI89" s="10" t="n">
        <f aca="false">IF(N89-15*AH89&gt;0,N89-15*AH89,360+N89-15*AH89)</f>
        <v>294.844395144766</v>
      </c>
      <c r="AJ89" s="18" t="n">
        <f aca="false">0.950724+0.051818*COS(Q89)+0.009531*COS(2*S89-Q89)+0.007843*COS(2*S89)+0.002824*COS(2*Q89)+0.000857*COS(2*S89+Q89)+0.000533*COS(2*S89-R89)+0.000401*COS(2*S89-R89-Q89)+0.00032*COS(Q89-R89)-0.000271*COS(S89)</f>
        <v>0.941461542006385</v>
      </c>
      <c r="AK89" s="50" t="n">
        <f aca="false">ASIN(COS($A$4*$G$2)*COS($A$4*AG89)*COS($A$4*AI89)+SIN($A$4*$G$2)*SIN($A$4*AG89))/$A$4</f>
        <v>15.4572409555107</v>
      </c>
      <c r="AL89" s="18" t="n">
        <f aca="false">ASIN((0.9983271+0.0016764*COS($A$4*2*$G$2))*COS($A$4*AK89)*SIN($A$4*AJ89))/$A$4</f>
        <v>0.906944279977827</v>
      </c>
      <c r="AM89" s="18" t="n">
        <f aca="false">AK89-AL89</f>
        <v>14.5502966755329</v>
      </c>
      <c r="AN89" s="10" t="n">
        <f aca="false"> IF(280.4664567 + 360007.6982779*M89/10 + 0.03032028*M89^2/100 + M89^3/49931000&lt;0,MOD(280.4664567 + 360007.6982779*M89/10 + 0.03032028*M89^2/100 + M89^3/49931000+360,360),MOD(280.4664567 + 360007.6982779*M89/10 + 0.03032028*M89^2/100 + M89^3/49931000,360))</f>
        <v>200.436478893689</v>
      </c>
      <c r="AO89" s="27" t="n">
        <f aca="false"> AN89 + (1.9146 - 0.004817*M89 - 0.000014*M89^2)*SIN(R89)+ (0.019993 - 0.000101*M89)*SIN(2*R89)+ 0.00029*SIN(3*R89)</f>
        <v>198.533033364769</v>
      </c>
      <c r="AP89" s="18" t="n">
        <f aca="false">ACOS(COS(X89-$A$4*AO89)*COS(Y89))/$A$4</f>
        <v>155.508522128884</v>
      </c>
      <c r="AQ89" s="25" t="n">
        <f aca="false">180 - AP89 -0.1468*(1-0.0549*SIN(R89))*SIN($A$4*AP89)/(1-0.0167*SIN($A$4*AO89))</f>
        <v>24.4276441997811</v>
      </c>
      <c r="AR89" s="25" t="n">
        <f aca="false">SIN($A$4*AI89)</f>
        <v>-0.9074521972011</v>
      </c>
      <c r="AS89" s="25" t="n">
        <f aca="false">COS($A$4*AI89)*SIN($A$4*$G$2) - TAN($A$4*AG89)*COS($A$4*$G$2)</f>
        <v>-0.423064326527648</v>
      </c>
      <c r="AT89" s="25" t="n">
        <f aca="false">IF(OR(AND(AR89*AS89&gt;0), AND(AR89&lt;0,AS89&gt;0)), MOD(ATAN2(AS89,AR89)/$A$4+360,360),  ATAN2(AS89,AR89)/$A$4)</f>
        <v>245.004542379104</v>
      </c>
      <c r="AU89" s="29" t="n">
        <f aca="false">(1+SIN($A$4*H89)*SIN($A$4*AJ89))*120*ASIN(0.272481*SIN($A$4*AJ89))/$A$4</f>
        <v>30.9094307073289</v>
      </c>
      <c r="AV89" s="10" t="n">
        <f aca="false">COS(X89)</f>
        <v>0.731062222460986</v>
      </c>
      <c r="AW89" s="10" t="n">
        <f aca="false">SIN(X89)</f>
        <v>0.682310799335907</v>
      </c>
      <c r="AX89" s="30" t="n">
        <f aca="false"> 385000.56 + (-20905355*COS(Q89) - 3699111*COS(2*S89-Q89) - 2955968*COS(2*S89) - 569925*COS(2*Q89) + (1-0.002516*M89)*48888*COS(R89) - 3149*COS(2*T89)  +246158*COS(2*S89-2*Q89) -(1-0.002516*M89)*152138*COS(2*S89-R89-Q89) -170733*COS(2*S89+Q89) -(1-0.002516*M89)*204586*COS(2*S89-R89) -(1-0.002516*M89)*129620*COS(R89-Q89)  + 108743*COS(S89) +(1-0.002516*M89)*104755*COS(R89+Q89) +10321*COS(2*S89-2*T89) +79661*COS(Q89-2*T89) -34782*COS(4*S89-Q89) -23210*COS(3*Q89)  -21636*COS(4*S89-2*Q89) +(1-0.002516*M89)*24208*COS(2*S89+R89-Q89) +(1-0.002516*M89)*30824*COS(2*S89+R89) -8379*COS(S89-Q89) -(1-0.002516*M89)*16675*COS(S89+R89)  -(1-0.002516*M89)*12831*COS(2*S89-R89+Q89) -10445*COS(2*S89+2*Q89) -11650*COS(4*S89) +14403*COS(2*S89-3*Q89) -(1-0.002516*M89)*7003*COS(R89-2*Q89)  + (1-0.002516*M89)*10056*COS(2*S89-R89-2*Q89) +6322*COS(S89+Q89) -(1-0.002516*M89)*(1-0.002516*M89)*9884*COS(2*S89-2*R89) +(1-0.002516*M89)*5751*COS(R89+2*Q89) -(1-0.002516*M89)*(1-0.002516*M89)*4950*COS(2*S89-2*R89-Q89)  +4130*COS(2*S89+Q89-2*T89) -(1-0.002516*M89)*3958*COS(4*S89-R89-Q89) +3258*COS(3*S89-Q89) +(1-0.002516*M89)*2616*COS(2*S89+R89+Q89) -(1-0.002516*M89)*1897*COS(4*S89-R89-2*Q89)  -(1-0.002516*M89)*(1-0.002516*M89)*2117*COS(2*R89-Q89) +(1-0.002516*M89)*(1-0.002516*M89)*2354*COS(2*S89+2*R89-Q89) -1423*COS(4*S89+Q89) -1117*COS(4*Q89) -(1-0.002516*M89)*1571*COS(4*S89-R89)  -1739*COS(S89-2*Q89) -4421*COS(2*Q89-2*T89) +(1-0.002516*M89)*(1-0.002516*M89)*1165*COS(2*R89+Q89) +8752*COS(2*S89-Q89-2*T89))/1000</f>
        <v>388165.592618915</v>
      </c>
      <c r="AY89" s="10" t="n">
        <f aca="false">AY88+1/8</f>
        <v>11.875</v>
      </c>
      <c r="AZ89" s="17" t="n">
        <f aca="false">AZ88+1</f>
        <v>88</v>
      </c>
      <c r="BA89" s="32" t="n">
        <f aca="false">ATAN(0.99664719*TAN($A$4*input!$E$2))</f>
        <v>-0.400219206115995</v>
      </c>
      <c r="BB89" s="32" t="n">
        <f aca="false">COS(BA89)</f>
        <v>0.920975608992155</v>
      </c>
      <c r="BC89" s="32" t="n">
        <f aca="false">0.99664719*SIN(BA89)</f>
        <v>-0.388313912533463</v>
      </c>
      <c r="BD89" s="32" t="n">
        <f aca="false">6378.14/AX89</f>
        <v>0.0164314924384908</v>
      </c>
      <c r="BE89" s="33" t="n">
        <f aca="false">MOD(N89-15*AH89,360)</f>
        <v>294.844395144766</v>
      </c>
      <c r="BF89" s="27" t="n">
        <f aca="false">COS($A$4*AG89)*SIN($A$4*BE89)</f>
        <v>-0.873558581331556</v>
      </c>
      <c r="BG89" s="27" t="n">
        <f aca="false">COS($A$4*AG89)*COS($A$4*BE89)-BB89*BD89</f>
        <v>0.38932940643926</v>
      </c>
      <c r="BH89" s="27" t="n">
        <f aca="false">SIN($A$4*AG89)-BC89*BD89</f>
        <v>0.277130579373688</v>
      </c>
      <c r="BI89" s="46" t="n">
        <f aca="false">SQRT(BF89^2+BG89^2+BH89^2)</f>
        <v>0.995732564376772</v>
      </c>
      <c r="BJ89" s="35" t="n">
        <f aca="false">AX89*BI89</f>
        <v>386509.120941262</v>
      </c>
    </row>
    <row r="90" customFormat="false" ht="15" hidden="false" customHeight="false" outlineLevel="0" collapsed="false">
      <c r="A90" s="20"/>
      <c r="B90" s="20"/>
      <c r="C90" s="15" t="n">
        <f aca="false">MOD(C89+3,24)</f>
        <v>0</v>
      </c>
      <c r="D90" s="36" t="n">
        <v>12</v>
      </c>
      <c r="E90" s="102" t="n">
        <f aca="false">input!$C$2</f>
        <v>10</v>
      </c>
      <c r="F90" s="102" t="n">
        <f aca="false">input!$D$2</f>
        <v>2022</v>
      </c>
      <c r="G90" s="0"/>
      <c r="H90" s="39" t="n">
        <f aca="false">AM90</f>
        <v>44.7029545823146</v>
      </c>
      <c r="I90" s="48" t="n">
        <f aca="false">H90+1.02/(TAN($A$4*(H90+10.3/(H90+5.11)))*60)</f>
        <v>44.7200082353135</v>
      </c>
      <c r="J90" s="39" t="n">
        <f aca="false">100*(1+COS($A$4*AQ90))/2</f>
        <v>94.9746378258042</v>
      </c>
      <c r="K90" s="48" t="n">
        <f aca="false">IF(AI90&gt;180,AT90-180,AT90+180)</f>
        <v>30.1609064263017</v>
      </c>
      <c r="L90" s="10" t="n">
        <f aca="false">L89+1/8</f>
        <v>2459864.5</v>
      </c>
      <c r="M90" s="49" t="n">
        <f aca="false">(L90-2451545)/36525</f>
        <v>0.227775496235455</v>
      </c>
      <c r="N90" s="15" t="n">
        <f aca="false">MOD(280.46061837+360.98564736629*(L90-2451545)+0.000387933*M90^2-M90^3/38710000+$G$4,360)</f>
        <v>20.5539023461752</v>
      </c>
      <c r="O90" s="18" t="n">
        <f aca="false">0.60643382+1336.85522467*M90 - 0.00000313*M90^2 - INT(0.60643382+1336.85522467*M90 - 0.00000313*M90^2)</f>
        <v>0.10929585178053</v>
      </c>
      <c r="P90" s="15" t="n">
        <f aca="false">22640*SIN(Q90)-4586*SIN(Q90-2*S90)+2370*SIN(2*S90)+769*SIN(2*Q90)-668*SIN(R90)-412*SIN(2*T90)-212*SIN(2*Q90-2*S90)-206*SIN(Q90+R90-2*S90)+192*SIN(Q90+2*S90)-165*SIN(R90-2*S90)-125*SIN(S90)-110*SIN(Q90+R90)+148*SIN(Q90-R90)-55*SIN(2*T90-2*S90)</f>
        <v>19029.3054289729</v>
      </c>
      <c r="Q90" s="18" t="n">
        <f aca="false">2*PI()*(0.374897+1325.55241*M90 - INT(0.374897+1325.55241*M90))</f>
        <v>1.9054071960457</v>
      </c>
      <c r="R90" s="26" t="n">
        <f aca="false">2*PI()*(0.99312619+99.99735956*M90 - 0.00000044*M90^2 - INT(0.99312619+99.99735956*M90- 0.00000044*M90^2))</f>
        <v>4.83851992420786</v>
      </c>
      <c r="S90" s="26" t="n">
        <f aca="false">2*PI()*(0.827361+1236.853086*M90 - INT(0.827361+1236.853086*M90))</f>
        <v>3.46948968895854</v>
      </c>
      <c r="T90" s="26" t="n">
        <f aca="false">2*PI()*(0.259086+1342.227825*M90 - INT(0.259086+1342.227825*M90))</f>
        <v>6.19330371562231</v>
      </c>
      <c r="U90" s="26" t="n">
        <f aca="false">T90+(P90+412*SIN(2*T90)+541*SIN(R90))/206264.8062</f>
        <v>6.28260125146803</v>
      </c>
      <c r="V90" s="26" t="n">
        <f aca="false">T90-2*S90</f>
        <v>-0.745675662294763</v>
      </c>
      <c r="W90" s="25" t="n">
        <f aca="false">-526*SIN(V90)+44*SIN(Q90+V90)-31*SIN(-Q90+V90)-23*SIN(R90+V90)+11*SIN(-R90+V90)-25*SIN(-2*Q90+T90)+21*SIN(-Q90+T90)</f>
        <v>401.272494507416</v>
      </c>
      <c r="X90" s="26" t="n">
        <f aca="false">2*PI()*(O90+P90/1296000-INT(O90+P90/1296000))</f>
        <v>0.778982766182884</v>
      </c>
      <c r="Y90" s="26" t="n">
        <f aca="false">(18520*SIN(U90)+W90)/206264.8062</f>
        <v>0.00189298305676869</v>
      </c>
      <c r="Z90" s="26" t="n">
        <f aca="false">Y90*180/PI()</f>
        <v>0.108459939842619</v>
      </c>
      <c r="AA90" s="26" t="n">
        <f aca="false">COS(Y90)*COS(X90)</f>
        <v>0.71162729466379</v>
      </c>
      <c r="AB90" s="26" t="n">
        <f aca="false">COS(Y90)*SIN(X90)</f>
        <v>0.702554631405219</v>
      </c>
      <c r="AC90" s="26" t="n">
        <f aca="false">SIN(Y90)</f>
        <v>0.00189298192622109</v>
      </c>
      <c r="AD90" s="26" t="n">
        <f aca="false">COS($A$4*(23.4393-46.815*M90/3600))*AB90-SIN($A$4*(23.4393-46.815*M90/3600))*AC90</f>
        <v>0.643842779582152</v>
      </c>
      <c r="AE90" s="26" t="n">
        <f aca="false">SIN($A$4*(23.4393-46.815*M90/3600))*AB90+COS($A$4*(23.4393-46.815*M90/3600))*AC90</f>
        <v>0.281163775528471</v>
      </c>
      <c r="AF90" s="26" t="n">
        <f aca="false">SQRT(1-AE90*AE90)</f>
        <v>0.959659799788746</v>
      </c>
      <c r="AG90" s="10" t="n">
        <f aca="false">ATAN(AE90/AF90)/$A$4</f>
        <v>16.3296747445345</v>
      </c>
      <c r="AH90" s="26" t="n">
        <f aca="false">IF(24*ATAN(AD90/(AA90+AF90))/PI()&gt;0,24*ATAN(AD90/(AA90+AF90))/PI(),24*ATAN(AD90/(AA90+AF90))/PI()+24)</f>
        <v>2.80914203224914</v>
      </c>
      <c r="AI90" s="10" t="n">
        <f aca="false">IF(N90-15*AH90&gt;0,N90-15*AH90,360+N90-15*AH90)</f>
        <v>338.416771862438</v>
      </c>
      <c r="AJ90" s="18" t="n">
        <f aca="false">0.950724+0.051818*COS(Q90)+0.009531*COS(2*S90-Q90)+0.007843*COS(2*S90)+0.002824*COS(2*Q90)+0.000857*COS(2*S90+Q90)+0.000533*COS(2*S90-R90)+0.000401*COS(2*S90-R90-Q90)+0.00032*COS(Q90-R90)-0.000271*COS(S90)</f>
        <v>0.940067850302885</v>
      </c>
      <c r="AK90" s="50" t="n">
        <f aca="false">ASIN(COS($A$4*$G$2)*COS($A$4*AG90)*COS($A$4*AI90)+SIN($A$4*$G$2)*SIN($A$4*AG90))/$A$4</f>
        <v>45.3631061697697</v>
      </c>
      <c r="AL90" s="18" t="n">
        <f aca="false">ASIN((0.9983271+0.0016764*COS($A$4*2*$G$2))*COS($A$4*AK90)*SIN($A$4*AJ90))/$A$4</f>
        <v>0.660151587455065</v>
      </c>
      <c r="AM90" s="18" t="n">
        <f aca="false">AK90-AL90</f>
        <v>44.7029545823146</v>
      </c>
      <c r="AN90" s="10" t="n">
        <f aca="false"> IF(280.4664567 + 360007.6982779*M90/10 + 0.03032028*M90^2/100 + M90^3/49931000&lt;0,MOD(280.4664567 + 360007.6982779*M90/10 + 0.03032028*M90^2/100 + M90^3/49931000+360,360),MOD(280.4664567 + 360007.6982779*M90/10 + 0.03032028*M90^2/100 + M90^3/49931000,360))</f>
        <v>200.559684814176</v>
      </c>
      <c r="AO90" s="27" t="n">
        <f aca="false"> AN90 + (1.9146 - 0.004817*M90 - 0.000014*M90^2)*SIN(R90)+ (0.019993 - 0.000101*M90)*SIN(2*R90)+ 0.00029*SIN(3*R90)</f>
        <v>198.656668609736</v>
      </c>
      <c r="AP90" s="18" t="n">
        <f aca="false">ACOS(COS(X90-$A$4*AO90)*COS(Y90))/$A$4</f>
        <v>154.024033091815</v>
      </c>
      <c r="AQ90" s="25" t="n">
        <f aca="false">180 - AP90 -0.1468*(1-0.0549*SIN(R90))*SIN($A$4*AP90)/(1-0.0167*SIN($A$4*AO90))</f>
        <v>25.9085277591917</v>
      </c>
      <c r="AR90" s="25" t="n">
        <f aca="false">SIN($A$4*AI90)</f>
        <v>-0.367852368818977</v>
      </c>
      <c r="AS90" s="25" t="n">
        <f aca="false">COS($A$4*AI90)*SIN($A$4*$G$2) - TAN($A$4*AG90)*COS($A$4*$G$2)</f>
        <v>-0.633026756128837</v>
      </c>
      <c r="AT90" s="25" t="n">
        <f aca="false">IF(OR(AND(AR90*AS90&gt;0), AND(AR90&lt;0,AS90&gt;0)), MOD(ATAN2(AS90,AR90)/$A$4+360,360),  ATAN2(AS90,AR90)/$A$4)</f>
        <v>210.160906426302</v>
      </c>
      <c r="AU90" s="29" t="n">
        <f aca="false">(1+SIN($A$4*H90)*SIN($A$4*AJ90))*120*ASIN(0.272481*SIN($A$4*AJ90))/$A$4</f>
        <v>31.091528247267</v>
      </c>
      <c r="AV90" s="10" t="n">
        <f aca="false">COS(X90)</f>
        <v>0.711628569682928</v>
      </c>
      <c r="AW90" s="10" t="n">
        <f aca="false">SIN(X90)</f>
        <v>0.702555890168911</v>
      </c>
      <c r="AX90" s="30" t="n">
        <f aca="false"> 385000.56 + (-20905355*COS(Q90) - 3699111*COS(2*S90-Q90) - 2955968*COS(2*S90) - 569925*COS(2*Q90) + (1-0.002516*M90)*48888*COS(R90) - 3149*COS(2*T90)  +246158*COS(2*S90-2*Q90) -(1-0.002516*M90)*152138*COS(2*S90-R90-Q90) -170733*COS(2*S90+Q90) -(1-0.002516*M90)*204586*COS(2*S90-R90) -(1-0.002516*M90)*129620*COS(R90-Q90)  + 108743*COS(S90) +(1-0.002516*M90)*104755*COS(R90+Q90) +10321*COS(2*S90-2*T90) +79661*COS(Q90-2*T90) -34782*COS(4*S90-Q90) -23210*COS(3*Q90)  -21636*COS(4*S90-2*Q90) +(1-0.002516*M90)*24208*COS(2*S90+R90-Q90) +(1-0.002516*M90)*30824*COS(2*S90+R90) -8379*COS(S90-Q90) -(1-0.002516*M90)*16675*COS(S90+R90)  -(1-0.002516*M90)*12831*COS(2*S90-R90+Q90) -10445*COS(2*S90+2*Q90) -11650*COS(4*S90) +14403*COS(2*S90-3*Q90) -(1-0.002516*M90)*7003*COS(R90-2*Q90)  + (1-0.002516*M90)*10056*COS(2*S90-R90-2*Q90) +6322*COS(S90+Q90) -(1-0.002516*M90)*(1-0.002516*M90)*9884*COS(2*S90-2*R90) +(1-0.002516*M90)*5751*COS(R90+2*Q90) -(1-0.002516*M90)*(1-0.002516*M90)*4950*COS(2*S90-2*R90-Q90)  +4130*COS(2*S90+Q90-2*T90) -(1-0.002516*M90)*3958*COS(4*S90-R90-Q90) +3258*COS(3*S90-Q90) +(1-0.002516*M90)*2616*COS(2*S90+R90+Q90) -(1-0.002516*M90)*1897*COS(4*S90-R90-2*Q90)  -(1-0.002516*M90)*(1-0.002516*M90)*2117*COS(2*R90-Q90) +(1-0.002516*M90)*(1-0.002516*M90)*2354*COS(2*S90+2*R90-Q90) -1423*COS(4*S90+Q90) -1117*COS(4*Q90) -(1-0.002516*M90)*1571*COS(4*S90-R90)  -1739*COS(S90-2*Q90) -4421*COS(2*Q90-2*T90) +(1-0.002516*M90)*(1-0.002516*M90)*1165*COS(2*R90+Q90) +8752*COS(2*S90-Q90-2*T90))/1000</f>
        <v>388733.643780211</v>
      </c>
      <c r="AY90" s="10" t="n">
        <f aca="false">AY89+1/8</f>
        <v>12</v>
      </c>
      <c r="AZ90" s="17" t="n">
        <f aca="false">AZ89+1</f>
        <v>89</v>
      </c>
      <c r="BA90" s="32" t="n">
        <f aca="false">ATAN(0.99664719*TAN($A$4*input!$E$2))</f>
        <v>-0.400219206115995</v>
      </c>
      <c r="BB90" s="32" t="n">
        <f aca="false">COS(BA90)</f>
        <v>0.920975608992155</v>
      </c>
      <c r="BC90" s="32" t="n">
        <f aca="false">0.99664719*SIN(BA90)</f>
        <v>-0.388313912533463</v>
      </c>
      <c r="BD90" s="32" t="n">
        <f aca="false">6378.14/AX90</f>
        <v>0.0164074813231401</v>
      </c>
      <c r="BE90" s="33" t="n">
        <f aca="false">MOD(N90-15*AH90,360)</f>
        <v>338.416771862438</v>
      </c>
      <c r="BF90" s="27" t="n">
        <f aca="false">COS($A$4*AG90)*SIN($A$4*BE90)</f>
        <v>-0.353013130612636</v>
      </c>
      <c r="BG90" s="27" t="n">
        <f aca="false">COS($A$4*AG90)*COS($A$4*BE90)-BB90*BD90</f>
        <v>0.877261599917036</v>
      </c>
      <c r="BH90" s="27" t="n">
        <f aca="false">SIN($A$4*AG90)-BC90*BD90</f>
        <v>0.287535028795879</v>
      </c>
      <c r="BI90" s="46" t="n">
        <f aca="false">SQRT(BF90^2+BG90^2+BH90^2)</f>
        <v>0.988373703544656</v>
      </c>
      <c r="BJ90" s="35" t="n">
        <f aca="false">AX90*BI90</f>
        <v>384214.111195456</v>
      </c>
    </row>
    <row r="91" customFormat="false" ht="15" hidden="false" customHeight="false" outlineLevel="0" collapsed="false">
      <c r="A91" s="20"/>
      <c r="B91" s="20"/>
      <c r="C91" s="15" t="n">
        <f aca="false">MOD(C90+3,24)</f>
        <v>3</v>
      </c>
      <c r="D91" s="105" t="n">
        <v>12</v>
      </c>
      <c r="E91" s="102" t="n">
        <f aca="false">input!$C$2</f>
        <v>10</v>
      </c>
      <c r="F91" s="102" t="n">
        <f aca="false">input!$D$2</f>
        <v>2022</v>
      </c>
      <c r="G91" s="0"/>
      <c r="H91" s="39" t="n">
        <f aca="false">AM91</f>
        <v>43.9780395041117</v>
      </c>
      <c r="I91" s="48" t="n">
        <f aca="false">H91+1.02/(TAN($A$4*(H91+10.3/(H91+5.11)))*60)</f>
        <v>43.9955283962784</v>
      </c>
      <c r="J91" s="39" t="n">
        <f aca="false">100*(1+COS($A$4*AQ91))/2</f>
        <v>94.3967892143436</v>
      </c>
      <c r="K91" s="48" t="n">
        <f aca="false">IF(AI91&gt;180,AT91-180,AT91+180)</f>
        <v>329.778184796874</v>
      </c>
      <c r="L91" s="10" t="n">
        <f aca="false">L90+1/8</f>
        <v>2459864.625</v>
      </c>
      <c r="M91" s="49" t="n">
        <f aca="false">(L91-2451545)/36525</f>
        <v>0.227778918548939</v>
      </c>
      <c r="N91" s="15" t="n">
        <f aca="false">MOD(280.46061837+360.98564736629*(L91-2451545)+0.000387933*M91^2-M91^3/38710000+$G$4,360)</f>
        <v>65.6771082673222</v>
      </c>
      <c r="O91" s="18" t="n">
        <f aca="false">0.60643382+1336.85522467*M91 - 0.00000313*M91^2 - INT(0.60643382+1336.85522467*M91 - 0.00000313*M91^2)</f>
        <v>0.113870989437089</v>
      </c>
      <c r="P91" s="15" t="n">
        <f aca="false">22640*SIN(Q91)-4586*SIN(Q91-2*S91)+2370*SIN(2*S91)+769*SIN(2*Q91)-668*SIN(R91)-412*SIN(2*T91)-212*SIN(2*Q91-2*S91)-206*SIN(Q91+R91-2*S91)+192*SIN(Q91+2*S91)-165*SIN(R91-2*S91)-125*SIN(S91)-110*SIN(Q91+R91)+148*SIN(Q91-R91)-55*SIN(2*T91-2*S91)</f>
        <v>18869.9587480523</v>
      </c>
      <c r="Q91" s="18" t="n">
        <f aca="false">2*PI()*(0.374897+1325.55241*M91 - INT(0.374897+1325.55241*M91))</f>
        <v>1.9339105890175</v>
      </c>
      <c r="R91" s="26" t="n">
        <f aca="false">2*PI()*(0.99312619+99.99735956*M91 - 0.00000044*M91^2 - INT(0.99312619+99.99735956*M91- 0.00000044*M91^2))</f>
        <v>4.84067017040596</v>
      </c>
      <c r="S91" s="26" t="n">
        <f aca="false">2*PI()*(0.827361+1236.853086*M91 - INT(0.827361+1236.853086*M91))</f>
        <v>3.49608577772346</v>
      </c>
      <c r="T91" s="26" t="n">
        <f aca="false">2*PI()*(0.259086+1342.227825*M91 - INT(0.259086+1342.227825*M91))</f>
        <v>6.22216568054007</v>
      </c>
      <c r="U91" s="26" t="n">
        <f aca="false">T91+(P91+412*SIN(2*T91)+541*SIN(R91))/206264.8062</f>
        <v>6.31080537090944</v>
      </c>
      <c r="V91" s="26" t="n">
        <f aca="false">T91-2*S91</f>
        <v>-0.77000587490685</v>
      </c>
      <c r="W91" s="25" t="n">
        <f aca="false">-526*SIN(V91)+44*SIN(Q91+V91)-31*SIN(-Q91+V91)-23*SIN(R91+V91)+11*SIN(-R91+V91)-25*SIN(-2*Q91+T91)+21*SIN(-Q91+T91)</f>
        <v>408.143200310373</v>
      </c>
      <c r="X91" s="26" t="n">
        <f aca="false">2*PI()*(O91+P91/1296000-INT(O91+P91/1296000))</f>
        <v>0.806956669375403</v>
      </c>
      <c r="Y91" s="26" t="n">
        <f aca="false">(18520*SIN(U91)+W91)/206264.8062</f>
        <v>0.00445835507531045</v>
      </c>
      <c r="Z91" s="26" t="n">
        <f aca="false">Y91*180/PI()</f>
        <v>0.255444929386019</v>
      </c>
      <c r="AA91" s="26" t="n">
        <f aca="false">COS(Y91)*COS(X91)</f>
        <v>0.691692607451288</v>
      </c>
      <c r="AB91" s="26" t="n">
        <f aca="false">COS(Y91)*SIN(X91)</f>
        <v>0.722178274388643</v>
      </c>
      <c r="AC91" s="26" t="n">
        <f aca="false">SIN(Y91)</f>
        <v>0.00445834030558986</v>
      </c>
      <c r="AD91" s="26" t="n">
        <f aca="false">COS($A$4*(23.4393-46.815*M91/3600))*AB91-SIN($A$4*(23.4393-46.815*M91/3600))*AC91</f>
        <v>0.6608272028973</v>
      </c>
      <c r="AE91" s="26" t="n">
        <f aca="false">SIN($A$4*(23.4393-46.815*M91/3600))*AB91+COS($A$4*(23.4393-46.815*M91/3600))*AC91</f>
        <v>0.291322406807595</v>
      </c>
      <c r="AF91" s="26" t="n">
        <f aca="false">SQRT(1-AE91*AE91)</f>
        <v>0.956624929265295</v>
      </c>
      <c r="AG91" s="10" t="n">
        <f aca="false">ATAN(AE91/AF91)/$A$4</f>
        <v>16.9371431826021</v>
      </c>
      <c r="AH91" s="26" t="n">
        <f aca="false">IF(24*ATAN(AD91/(AA91+AF91))/PI()&gt;0,24*ATAN(AD91/(AA91+AF91))/PI(),24*ATAN(AD91/(AA91+AF91))/PI()+24)</f>
        <v>2.91284659925523</v>
      </c>
      <c r="AI91" s="10" t="n">
        <f aca="false">IF(N91-15*AH91&gt;0,N91-15*AH91,360+N91-15*AH91)</f>
        <v>21.9844092784937</v>
      </c>
      <c r="AJ91" s="18" t="n">
        <f aca="false">0.950724+0.051818*COS(Q91)+0.009531*COS(2*S91-Q91)+0.007843*COS(2*S91)+0.002824*COS(2*Q91)+0.000857*COS(2*S91+Q91)+0.000533*COS(2*S91-R91)+0.000401*COS(2*S91-R91-Q91)+0.00032*COS(Q91-R91)-0.000271*COS(S91)</f>
        <v>0.938681079454019</v>
      </c>
      <c r="AK91" s="50" t="n">
        <f aca="false">ASIN(COS($A$4*$G$2)*COS($A$4*AG91)*COS($A$4*AI91)+SIN($A$4*$G$2)*SIN($A$4*AG91))/$A$4</f>
        <v>44.6455266826572</v>
      </c>
      <c r="AL91" s="18" t="n">
        <f aca="false">ASIN((0.9983271+0.0016764*COS($A$4*2*$G$2))*COS($A$4*AK91)*SIN($A$4*AJ91))/$A$4</f>
        <v>0.667487178545485</v>
      </c>
      <c r="AM91" s="18" t="n">
        <f aca="false">AK91-AL91</f>
        <v>43.9780395041117</v>
      </c>
      <c r="AN91" s="10" t="n">
        <f aca="false"> IF(280.4664567 + 360007.6982779*M91/10 + 0.03032028*M91^2/100 + M91^3/49931000&lt;0,MOD(280.4664567 + 360007.6982779*M91/10 + 0.03032028*M91^2/100 + M91^3/49931000+360,360),MOD(280.4664567 + 360007.6982779*M91/10 + 0.03032028*M91^2/100 + M91^3/49931000,360))</f>
        <v>200.682890734661</v>
      </c>
      <c r="AO91" s="27" t="n">
        <f aca="false"> AN91 + (1.9146 - 0.004817*M91 - 0.000014*M91^2)*SIN(R91)+ (0.019993 - 0.000101*M91)*SIN(2*R91)+ 0.00029*SIN(3*R91)</f>
        <v>198.780312712569</v>
      </c>
      <c r="AP91" s="18" t="n">
        <f aca="false">ACOS(COS(X91-$A$4*AO91)*COS(Y91))/$A$4</f>
        <v>152.544005355033</v>
      </c>
      <c r="AQ91" s="25" t="n">
        <f aca="false">180 - AP91 -0.1468*(1-0.0549*SIN(R91))*SIN($A$4*AP91)/(1-0.0167*SIN($A$4*AO91))</f>
        <v>27.3850062836902</v>
      </c>
      <c r="AR91" s="25" t="n">
        <f aca="false">SIN($A$4*AI91)</f>
        <v>0.374354284086703</v>
      </c>
      <c r="AS91" s="25" t="n">
        <f aca="false">COS($A$4*AI91)*SIN($A$4*$G$2) - TAN($A$4*AG91)*COS($A$4*$G$2)</f>
        <v>-0.642642115793547</v>
      </c>
      <c r="AT91" s="25" t="n">
        <f aca="false">IF(OR(AND(AR91*AS91&gt;0), AND(AR91&lt;0,AS91&gt;0)), MOD(ATAN2(AS91,AR91)/$A$4+360,360),  ATAN2(AS91,AR91)/$A$4)</f>
        <v>149.778184796874</v>
      </c>
      <c r="AU91" s="29" t="n">
        <f aca="false">(1+SIN($A$4*H91)*SIN($A$4*AJ91))*120*ASIN(0.272481*SIN($A$4*AJ91))/$A$4</f>
        <v>31.0405942329251</v>
      </c>
      <c r="AV91" s="10" t="n">
        <f aca="false">COS(X91)</f>
        <v>0.691699481870984</v>
      </c>
      <c r="AW91" s="10" t="n">
        <f aca="false">SIN(X91)</f>
        <v>0.722185451791582</v>
      </c>
      <c r="AX91" s="30" t="n">
        <f aca="false"> 385000.56 + (-20905355*COS(Q91) - 3699111*COS(2*S91-Q91) - 2955968*COS(2*S91) - 569925*COS(2*Q91) + (1-0.002516*M91)*48888*COS(R91) - 3149*COS(2*T91)  +246158*COS(2*S91-2*Q91) -(1-0.002516*M91)*152138*COS(2*S91-R91-Q91) -170733*COS(2*S91+Q91) -(1-0.002516*M91)*204586*COS(2*S91-R91) -(1-0.002516*M91)*129620*COS(R91-Q91)  + 108743*COS(S91) +(1-0.002516*M91)*104755*COS(R91+Q91) +10321*COS(2*S91-2*T91) +79661*COS(Q91-2*T91) -34782*COS(4*S91-Q91) -23210*COS(3*Q91)  -21636*COS(4*S91-2*Q91) +(1-0.002516*M91)*24208*COS(2*S91+R91-Q91) +(1-0.002516*M91)*30824*COS(2*S91+R91) -8379*COS(S91-Q91) -(1-0.002516*M91)*16675*COS(S91+R91)  -(1-0.002516*M91)*12831*COS(2*S91-R91+Q91) -10445*COS(2*S91+2*Q91) -11650*COS(4*S91) +14403*COS(2*S91-3*Q91) -(1-0.002516*M91)*7003*COS(R91-2*Q91)  + (1-0.002516*M91)*10056*COS(2*S91-R91-2*Q91) +6322*COS(S91+Q91) -(1-0.002516*M91)*(1-0.002516*M91)*9884*COS(2*S91-2*R91) +(1-0.002516*M91)*5751*COS(R91+2*Q91) -(1-0.002516*M91)*(1-0.002516*M91)*4950*COS(2*S91-2*R91-Q91)  +4130*COS(2*S91+Q91-2*T91) -(1-0.002516*M91)*3958*COS(4*S91-R91-Q91) +3258*COS(3*S91-Q91) +(1-0.002516*M91)*2616*COS(2*S91+R91+Q91) -(1-0.002516*M91)*1897*COS(4*S91-R91-2*Q91)  -(1-0.002516*M91)*(1-0.002516*M91)*2117*COS(2*R91-Q91) +(1-0.002516*M91)*(1-0.002516*M91)*2354*COS(2*S91+2*R91-Q91) -1423*COS(4*S91+Q91) -1117*COS(4*Q91) -(1-0.002516*M91)*1571*COS(4*S91-R91)  -1739*COS(S91-2*Q91) -4421*COS(2*Q91-2*T91) +(1-0.002516*M91)*(1-0.002516*M91)*1165*COS(2*R91+Q91) +8752*COS(2*S91-Q91-2*T91))/1000</f>
        <v>389300.933613074</v>
      </c>
      <c r="AY91" s="10" t="n">
        <f aca="false">AY90+1/8</f>
        <v>12.125</v>
      </c>
      <c r="AZ91" s="17" t="n">
        <f aca="false">AZ90+1</f>
        <v>90</v>
      </c>
      <c r="BA91" s="32" t="n">
        <f aca="false">ATAN(0.99664719*TAN($A$4*input!$E$2))</f>
        <v>-0.400219206115995</v>
      </c>
      <c r="BB91" s="32" t="n">
        <f aca="false">COS(BA91)</f>
        <v>0.920975608992155</v>
      </c>
      <c r="BC91" s="32" t="n">
        <f aca="false">0.99664719*SIN(BA91)</f>
        <v>-0.388313912533463</v>
      </c>
      <c r="BD91" s="32" t="n">
        <f aca="false">6378.14/AX91</f>
        <v>0.0163835723197603</v>
      </c>
      <c r="BE91" s="33" t="n">
        <f aca="false">MOD(N91-15*AH91,360)</f>
        <v>21.9844092784937</v>
      </c>
      <c r="BF91" s="27" t="n">
        <f aca="false">COS($A$4*AG91)*SIN($A$4*BE91)</f>
        <v>0.358116640534602</v>
      </c>
      <c r="BG91" s="27" t="n">
        <f aca="false">COS($A$4*AG91)*COS($A$4*BE91)-BB91*BD91</f>
        <v>0.871975798548158</v>
      </c>
      <c r="BH91" s="27" t="n">
        <f aca="false">SIN($A$4*AG91)-BC91*BD91</f>
        <v>0.297684375876357</v>
      </c>
      <c r="BI91" s="46" t="n">
        <f aca="false">SQRT(BF91^2+BG91^2+BH91^2)</f>
        <v>0.988536953847646</v>
      </c>
      <c r="BJ91" s="35" t="n">
        <f aca="false">AX91*BI91</f>
        <v>384838.359043913</v>
      </c>
    </row>
    <row r="92" customFormat="false" ht="15" hidden="false" customHeight="false" outlineLevel="0" collapsed="false">
      <c r="A92" s="20"/>
      <c r="B92" s="20"/>
      <c r="C92" s="15" t="n">
        <f aca="false">MOD(C91+3,24)</f>
        <v>6</v>
      </c>
      <c r="D92" s="105" t="n">
        <v>12</v>
      </c>
      <c r="E92" s="102" t="n">
        <f aca="false">input!$C$2</f>
        <v>10</v>
      </c>
      <c r="F92" s="102" t="n">
        <f aca="false">input!$D$2</f>
        <v>2022</v>
      </c>
      <c r="G92" s="0"/>
      <c r="H92" s="39" t="n">
        <f aca="false">AM92</f>
        <v>13.3118094379884</v>
      </c>
      <c r="I92" s="48" t="n">
        <f aca="false">H92+1.02/(TAN($A$4*(H92+10.3/(H92+5.11)))*60)</f>
        <v>13.3806530210033</v>
      </c>
      <c r="J92" s="39" t="n">
        <f aca="false">100*(1+COS($A$4*AQ92))/2</f>
        <v>93.7913519542048</v>
      </c>
      <c r="K92" s="48" t="n">
        <f aca="false">IF(AI92&gt;180,AT92-180,AT92+180)</f>
        <v>296.432476410293</v>
      </c>
      <c r="L92" s="10" t="n">
        <f aca="false">L91+1/8</f>
        <v>2459864.75</v>
      </c>
      <c r="M92" s="49" t="n">
        <f aca="false">(L92-2451545)/36525</f>
        <v>0.227782340862423</v>
      </c>
      <c r="N92" s="15" t="n">
        <f aca="false">MOD(280.46061837+360.98564736629*(L92-2451545)+0.000387933*M92^2-M92^3/38710000+$G$4,360)</f>
        <v>110.800314188469</v>
      </c>
      <c r="O92" s="18" t="n">
        <f aca="false">0.60643382+1336.85522467*M92 - 0.00000313*M92^2 - INT(0.60643382+1336.85522467*M92 - 0.00000313*M92^2)</f>
        <v>0.118446127093591</v>
      </c>
      <c r="P92" s="15" t="n">
        <f aca="false">22640*SIN(Q92)-4586*SIN(Q92-2*S92)+2370*SIN(2*S92)+769*SIN(2*Q92)-668*SIN(R92)-412*SIN(2*T92)-212*SIN(2*Q92-2*S92)-206*SIN(Q92+R92-2*S92)+192*SIN(Q92+2*S92)-165*SIN(R92-2*S92)-125*SIN(S92)-110*SIN(Q92+R92)+148*SIN(Q92-R92)-55*SIN(2*T92-2*S92)</f>
        <v>18692.2192957018</v>
      </c>
      <c r="Q92" s="18" t="n">
        <f aca="false">2*PI()*(0.374897+1325.55241*M92 - INT(0.374897+1325.55241*M92))</f>
        <v>1.96241398198929</v>
      </c>
      <c r="R92" s="26" t="n">
        <f aca="false">2*PI()*(0.99312619+99.99735956*M92 - 0.00000044*M92^2 - INT(0.99312619+99.99735956*M92- 0.00000044*M92^2))</f>
        <v>4.84282041660407</v>
      </c>
      <c r="S92" s="26" t="n">
        <f aca="false">2*PI()*(0.827361+1236.853086*M92 - INT(0.827361+1236.853086*M92))</f>
        <v>3.52268186648838</v>
      </c>
      <c r="T92" s="26" t="n">
        <f aca="false">2*PI()*(0.259086+1342.227825*M92 - INT(0.259086+1342.227825*M92))</f>
        <v>6.25102764545747</v>
      </c>
      <c r="U92" s="26" t="n">
        <f aca="false">T92+(P92+412*SIN(2*T92)+541*SIN(R92))/206264.8062</f>
        <v>6.33892114170402</v>
      </c>
      <c r="V92" s="26" t="n">
        <f aca="false">T92-2*S92</f>
        <v>-0.794336087519293</v>
      </c>
      <c r="W92" s="25" t="n">
        <f aca="false">-526*SIN(V92)+44*SIN(Q92+V92)-31*SIN(-Q92+V92)-23*SIN(R92+V92)+11*SIN(-R92+V92)-25*SIN(-2*Q92+T92)+21*SIN(-Q92+T92)</f>
        <v>414.759950572601</v>
      </c>
      <c r="X92" s="26" t="n">
        <f aca="false">2*PI()*(O92+P92/1296000-INT(O92+P92/1296000))</f>
        <v>0.834841401895337</v>
      </c>
      <c r="Y92" s="26" t="n">
        <f aca="false">(18520*SIN(U92)+W92)/206264.8062</f>
        <v>0.00701260327745801</v>
      </c>
      <c r="Z92" s="26" t="n">
        <f aca="false">Y92*180/PI()</f>
        <v>0.401792571197953</v>
      </c>
      <c r="AA92" s="26" t="n">
        <f aca="false">COS(Y92)*COS(X92)</f>
        <v>0.671278736497162</v>
      </c>
      <c r="AB92" s="26" t="n">
        <f aca="false">COS(Y92)*SIN(X92)</f>
        <v>0.741171830366046</v>
      </c>
      <c r="AC92" s="26" t="n">
        <f aca="false">SIN(Y92)</f>
        <v>0.00701254580159609</v>
      </c>
      <c r="AD92" s="26" t="n">
        <f aca="false">COS($A$4*(23.4393-46.815*M92/3600))*AB92-SIN($A$4*(23.4393-46.815*M92/3600))*AC92</f>
        <v>0.677237955619634</v>
      </c>
      <c r="AE92" s="26" t="n">
        <f aca="false">SIN($A$4*(23.4393-46.815*M92/3600))*AB92+COS($A$4*(23.4393-46.815*M92/3600))*AC92</f>
        <v>0.301220200841365</v>
      </c>
      <c r="AF92" s="26" t="n">
        <f aca="false">SQRT(1-AE92*AE92)</f>
        <v>0.953554608087596</v>
      </c>
      <c r="AG92" s="10" t="n">
        <f aca="false">ATAN(AE92/AF92)/$A$4</f>
        <v>17.5309059554106</v>
      </c>
      <c r="AH92" s="26" t="n">
        <f aca="false">IF(24*ATAN(AD92/(AA92+AF92))/PI()&gt;0,24*ATAN(AD92/(AA92+AF92))/PI(),24*ATAN(AD92/(AA92+AF92))/PI()+24)</f>
        <v>3.01687957760585</v>
      </c>
      <c r="AI92" s="10" t="n">
        <f aca="false">IF(N92-15*AH92&gt;0,N92-15*AH92,360+N92-15*AH92)</f>
        <v>65.5471205243815</v>
      </c>
      <c r="AJ92" s="18" t="n">
        <f aca="false">0.950724+0.051818*COS(Q92)+0.009531*COS(2*S92-Q92)+0.007843*COS(2*S92)+0.002824*COS(2*Q92)+0.000857*COS(2*S92+Q92)+0.000533*COS(2*S92-R92)+0.000401*COS(2*S92-R92-Q92)+0.00032*COS(Q92-R92)-0.000271*COS(S92)</f>
        <v>0.937302931110041</v>
      </c>
      <c r="AK92" s="50" t="n">
        <f aca="false">ASIN(COS($A$4*$G$2)*COS($A$4*AG92)*COS($A$4*AI92)+SIN($A$4*$G$2)*SIN($A$4*AG92))/$A$4</f>
        <v>14.2199289920586</v>
      </c>
      <c r="AL92" s="18" t="n">
        <f aca="false">ASIN((0.9983271+0.0016764*COS($A$4*2*$G$2))*COS($A$4*AK92)*SIN($A$4*AJ92))/$A$4</f>
        <v>0.908119554070264</v>
      </c>
      <c r="AM92" s="18" t="n">
        <f aca="false">AK92-AL92</f>
        <v>13.3118094379884</v>
      </c>
      <c r="AN92" s="10" t="n">
        <f aca="false"> IF(280.4664567 + 360007.6982779*M92/10 + 0.03032028*M92^2/100 + M92^3/49931000&lt;0,MOD(280.4664567 + 360007.6982779*M92/10 + 0.03032028*M92^2/100 + M92^3/49931000+360,360),MOD(280.4664567 + 360007.6982779*M92/10 + 0.03032028*M92^2/100 + M92^3/49931000,360))</f>
        <v>200.806096655147</v>
      </c>
      <c r="AO92" s="27" t="n">
        <f aca="false"> AN92 + (1.9146 - 0.004817*M92 - 0.000014*M92^2)*SIN(R92)+ (0.019993 - 0.000101*M92)*SIN(2*R92)+ 0.00029*SIN(3*R92)</f>
        <v>198.903965672423</v>
      </c>
      <c r="AP92" s="18" t="n">
        <f aca="false">ACOS(COS(X92-$A$4*AO92)*COS(Y92))/$A$4</f>
        <v>151.068527888605</v>
      </c>
      <c r="AQ92" s="25" t="n">
        <f aca="false">180 - AP92 -0.1468*(1-0.0549*SIN(R92))*SIN($A$4*AP92)/(1-0.0167*SIN($A$4*AO92))</f>
        <v>28.8569929592802</v>
      </c>
      <c r="AR92" s="25" t="n">
        <f aca="false">SIN($A$4*AI92)</f>
        <v>0.910302010272445</v>
      </c>
      <c r="AS92" s="25" t="n">
        <f aca="false">COS($A$4*AI92)*SIN($A$4*$G$2) - TAN($A$4*AG92)*COS($A$4*$G$2)</f>
        <v>-0.452521146712902</v>
      </c>
      <c r="AT92" s="25" t="n">
        <f aca="false">IF(OR(AND(AR92*AS92&gt;0), AND(AR92&lt;0,AS92&gt;0)), MOD(ATAN2(AS92,AR92)/$A$4+360,360),  ATAN2(AS92,AR92)/$A$4)</f>
        <v>116.432476410293</v>
      </c>
      <c r="AU92" s="29" t="n">
        <f aca="false">(1+SIN($A$4*H92)*SIN($A$4*AJ92))*120*ASIN(0.272481*SIN($A$4*AJ92))/$A$4</f>
        <v>30.7618330599878</v>
      </c>
      <c r="AV92" s="10" t="n">
        <f aca="false">COS(X92)</f>
        <v>0.671295242439916</v>
      </c>
      <c r="AW92" s="10" t="n">
        <f aca="false">SIN(X92)</f>
        <v>0.741190054896539</v>
      </c>
      <c r="AX92" s="30" t="n">
        <f aca="false"> 385000.56 + (-20905355*COS(Q92) - 3699111*COS(2*S92-Q92) - 2955968*COS(2*S92) - 569925*COS(2*Q92) + (1-0.002516*M92)*48888*COS(R92) - 3149*COS(2*T92)  +246158*COS(2*S92-2*Q92) -(1-0.002516*M92)*152138*COS(2*S92-R92-Q92) -170733*COS(2*S92+Q92) -(1-0.002516*M92)*204586*COS(2*S92-R92) -(1-0.002516*M92)*129620*COS(R92-Q92)  + 108743*COS(S92) +(1-0.002516*M92)*104755*COS(R92+Q92) +10321*COS(2*S92-2*T92) +79661*COS(Q92-2*T92) -34782*COS(4*S92-Q92) -23210*COS(3*Q92)  -21636*COS(4*S92-2*Q92) +(1-0.002516*M92)*24208*COS(2*S92+R92-Q92) +(1-0.002516*M92)*30824*COS(2*S92+R92) -8379*COS(S92-Q92) -(1-0.002516*M92)*16675*COS(S92+R92)  -(1-0.002516*M92)*12831*COS(2*S92-R92+Q92) -10445*COS(2*S92+2*Q92) -11650*COS(4*S92) +14403*COS(2*S92-3*Q92) -(1-0.002516*M92)*7003*COS(R92-2*Q92)  + (1-0.002516*M92)*10056*COS(2*S92-R92-2*Q92) +6322*COS(S92+Q92) -(1-0.002516*M92)*(1-0.002516*M92)*9884*COS(2*S92-2*R92) +(1-0.002516*M92)*5751*COS(R92+2*Q92) -(1-0.002516*M92)*(1-0.002516*M92)*4950*COS(2*S92-2*R92-Q92)  +4130*COS(2*S92+Q92-2*T92) -(1-0.002516*M92)*3958*COS(4*S92-R92-Q92) +3258*COS(3*S92-Q92) +(1-0.002516*M92)*2616*COS(2*S92+R92+Q92) -(1-0.002516*M92)*1897*COS(4*S92-R92-2*Q92)  -(1-0.002516*M92)*(1-0.002516*M92)*2117*COS(2*R92-Q92) +(1-0.002516*M92)*(1-0.002516*M92)*2354*COS(2*S92+2*R92-Q92) -1423*COS(4*S92+Q92) -1117*COS(4*Q92) -(1-0.002516*M92)*1571*COS(4*S92-R92)  -1739*COS(S92-2*Q92) -4421*COS(2*Q92-2*T92) +(1-0.002516*M92)*(1-0.002516*M92)*1165*COS(2*R92+Q92) +8752*COS(2*S92-Q92-2*T92))/1000</f>
        <v>389866.79404684</v>
      </c>
      <c r="AY92" s="10" t="n">
        <f aca="false">AY91+1/8</f>
        <v>12.25</v>
      </c>
      <c r="AZ92" s="17" t="n">
        <f aca="false">AZ91+1</f>
        <v>91</v>
      </c>
      <c r="BA92" s="32" t="n">
        <f aca="false">ATAN(0.99664719*TAN($A$4*input!$E$2))</f>
        <v>-0.400219206115995</v>
      </c>
      <c r="BB92" s="32" t="n">
        <f aca="false">COS(BA92)</f>
        <v>0.920975608992155</v>
      </c>
      <c r="BC92" s="32" t="n">
        <f aca="false">0.99664719*SIN(BA92)</f>
        <v>-0.388313912533463</v>
      </c>
      <c r="BD92" s="32" t="n">
        <f aca="false">6378.14/AX92</f>
        <v>0.0163597928764195</v>
      </c>
      <c r="BE92" s="33" t="n">
        <f aca="false">MOD(N92-15*AH92,360)</f>
        <v>65.5471205243815</v>
      </c>
      <c r="BF92" s="27" t="n">
        <f aca="false">COS($A$4*AG92)*SIN($A$4*BE92)</f>
        <v>0.868022676646692</v>
      </c>
      <c r="BG92" s="27" t="n">
        <f aca="false">COS($A$4*AG92)*COS($A$4*BE92)-BB92*BD92</f>
        <v>0.379651946785748</v>
      </c>
      <c r="BH92" s="27" t="n">
        <f aca="false">SIN($A$4*AG92)-BC92*BD92</f>
        <v>0.307572936021444</v>
      </c>
      <c r="BI92" s="46" t="n">
        <f aca="false">SQRT(BF92^2+BG92^2+BH92^2)</f>
        <v>0.996092404771739</v>
      </c>
      <c r="BJ92" s="35" t="n">
        <f aca="false">AX92*BI92</f>
        <v>388343.352422765</v>
      </c>
    </row>
    <row r="93" customFormat="false" ht="15" hidden="false" customHeight="false" outlineLevel="0" collapsed="false">
      <c r="A93" s="20"/>
      <c r="B93" s="20"/>
      <c r="C93" s="15" t="n">
        <f aca="false">MOD(C92+3,24)</f>
        <v>9</v>
      </c>
      <c r="D93" s="105" t="n">
        <v>12</v>
      </c>
      <c r="E93" s="102" t="n">
        <f aca="false">input!$C$2</f>
        <v>10</v>
      </c>
      <c r="F93" s="102" t="n">
        <f aca="false">input!$D$2</f>
        <v>2022</v>
      </c>
      <c r="G93" s="0"/>
      <c r="H93" s="39" t="n">
        <f aca="false">AM93</f>
        <v>-24.9215490955599</v>
      </c>
      <c r="I93" s="48" t="n">
        <f aca="false">H93+1.02/(TAN($A$4*(H93+10.3/(H93+5.11)))*60)</f>
        <v>-24.957284272721</v>
      </c>
      <c r="J93" s="39" t="n">
        <f aca="false">100*(1+COS($A$4*AQ93))/2</f>
        <v>93.1590169480561</v>
      </c>
      <c r="K93" s="48" t="n">
        <f aca="false">IF(AI93&gt;180,AT93-180,AT93+180)</f>
        <v>280.385041184738</v>
      </c>
      <c r="L93" s="10" t="n">
        <f aca="false">L92+1/8</f>
        <v>2459864.875</v>
      </c>
      <c r="M93" s="49" t="n">
        <f aca="false">(L93-2451545)/36525</f>
        <v>0.227785763175907</v>
      </c>
      <c r="N93" s="15" t="n">
        <f aca="false">MOD(280.46061837+360.98564736629*(L93-2451545)+0.000387933*M93^2-M93^3/38710000+$G$4,360)</f>
        <v>155.923520109616</v>
      </c>
      <c r="O93" s="18" t="n">
        <f aca="false">0.60643382+1336.85522467*M93 - 0.00000313*M93^2 - INT(0.60643382+1336.85522467*M93 - 0.00000313*M93^2)</f>
        <v>0.123021264750207</v>
      </c>
      <c r="P93" s="15" t="n">
        <f aca="false">22640*SIN(Q93)-4586*SIN(Q93-2*S93)+2370*SIN(2*S93)+769*SIN(2*Q93)-668*SIN(R93)-412*SIN(2*T93)-212*SIN(2*Q93-2*S93)-206*SIN(Q93+R93-2*S93)+192*SIN(Q93+2*S93)-165*SIN(R93-2*S93)-125*SIN(S93)-110*SIN(Q93+R93)+148*SIN(Q93-R93)-55*SIN(2*T93-2*S93)</f>
        <v>18496.2814966078</v>
      </c>
      <c r="Q93" s="18" t="n">
        <f aca="false">2*PI()*(0.374897+1325.55241*M93 - INT(0.374897+1325.55241*M93))</f>
        <v>1.99091737496109</v>
      </c>
      <c r="R93" s="26" t="n">
        <f aca="false">2*PI()*(0.99312619+99.99735956*M93 - 0.00000044*M93^2 - INT(0.99312619+99.99735956*M93- 0.00000044*M93^2))</f>
        <v>4.84497066280212</v>
      </c>
      <c r="S93" s="26" t="n">
        <f aca="false">2*PI()*(0.827361+1236.853086*M93 - INT(0.827361+1236.853086*M93))</f>
        <v>3.54927795525295</v>
      </c>
      <c r="T93" s="26" t="n">
        <f aca="false">2*PI()*(0.259086+1342.227825*M93 - INT(0.259086+1342.227825*M93))</f>
        <v>6.27988961037487</v>
      </c>
      <c r="U93" s="26" t="n">
        <f aca="false">T93+(P93+412*SIN(2*T93)+541*SIN(R93))/206264.8062</f>
        <v>6.36694912408764</v>
      </c>
      <c r="V93" s="26" t="n">
        <f aca="false">T93-2*S93</f>
        <v>-0.818666300131022</v>
      </c>
      <c r="W93" s="25" t="n">
        <f aca="false">-526*SIN(V93)+44*SIN(Q93+V93)-31*SIN(-Q93+V93)-23*SIN(R93+V93)+11*SIN(-R93+V93)-25*SIN(-2*Q93+T93)+21*SIN(-Q93+T93)</f>
        <v>421.122261135855</v>
      </c>
      <c r="X93" s="26" t="n">
        <f aca="false">2*PI()*(O93+P93/1296000-INT(O93+P93/1296000))</f>
        <v>0.862637906341238</v>
      </c>
      <c r="Y93" s="26" t="n">
        <f aca="false">(18520*SIN(U93)+W93)/206264.8062</f>
        <v>0.009553809647523</v>
      </c>
      <c r="Z93" s="26" t="n">
        <f aca="false">Y93*180/PI()</f>
        <v>0.547392971074437</v>
      </c>
      <c r="AA93" s="26" t="n">
        <f aca="false">COS(Y93)*COS(X93)</f>
        <v>0.650406398630606</v>
      </c>
      <c r="AB93" s="26" t="n">
        <f aca="false">COS(Y93)*SIN(X93)</f>
        <v>0.759526328785651</v>
      </c>
      <c r="AC93" s="26" t="n">
        <f aca="false">SIN(Y93)</f>
        <v>0.00955366431041312</v>
      </c>
      <c r="AD93" s="26" t="n">
        <f aca="false">COS($A$4*(23.4393-46.815*M93/3600))*AB93-SIN($A$4*(23.4393-46.815*M93/3600))*AC93</f>
        <v>0.693067576495146</v>
      </c>
      <c r="AE93" s="26" t="n">
        <f aca="false">SIN($A$4*(23.4393-46.815*M93/3600))*AB93+COS($A$4*(23.4393-46.815*M93/3600))*AC93</f>
        <v>0.310851815229555</v>
      </c>
      <c r="AF93" s="26" t="n">
        <f aca="false">SQRT(1-AE93*AE93)</f>
        <v>0.95045838886744</v>
      </c>
      <c r="AG93" s="10" t="n">
        <f aca="false">ATAN(AE93/AF93)/$A$4</f>
        <v>18.1105723212779</v>
      </c>
      <c r="AH93" s="26" t="n">
        <f aca="false">IF(24*ATAN(AD93/(AA93+AF93))/PI()&gt;0,24*ATAN(AD93/(AA93+AF93))/PI(),24*ATAN(AD93/(AA93+AF93))/PI()+24)</f>
        <v>3.12125203855339</v>
      </c>
      <c r="AI93" s="10" t="n">
        <f aca="false">IF(N93-15*AH93&gt;0,N93-15*AH93,360+N93-15*AH93)</f>
        <v>109.104739531315</v>
      </c>
      <c r="AJ93" s="18" t="n">
        <f aca="false">0.950724+0.051818*COS(Q93)+0.009531*COS(2*S93-Q93)+0.007843*COS(2*S93)+0.002824*COS(2*Q93)+0.000857*COS(2*S93+Q93)+0.000533*COS(2*S93-R93)+0.000401*COS(2*S93-R93-Q93)+0.00032*COS(Q93-R93)-0.000271*COS(S93)</f>
        <v>0.935935085928494</v>
      </c>
      <c r="AK93" s="50" t="n">
        <f aca="false">ASIN(COS($A$4*$G$2)*COS($A$4*AG93)*COS($A$4*AI93)+SIN($A$4*$G$2)*SIN($A$4*AG93))/$A$4</f>
        <v>-24.0674191732676</v>
      </c>
      <c r="AL93" s="18" t="n">
        <f aca="false">ASIN((0.9983271+0.0016764*COS($A$4*2*$G$2))*COS($A$4*AK93)*SIN($A$4*AJ93))/$A$4</f>
        <v>0.85412992229232</v>
      </c>
      <c r="AM93" s="18" t="n">
        <f aca="false">AK93-AL93</f>
        <v>-24.9215490955599</v>
      </c>
      <c r="AN93" s="10" t="n">
        <f aca="false"> IF(280.4664567 + 360007.6982779*M93/10 + 0.03032028*M93^2/100 + M93^3/49931000&lt;0,MOD(280.4664567 + 360007.6982779*M93/10 + 0.03032028*M93^2/100 + M93^3/49931000+360,360),MOD(280.4664567 + 360007.6982779*M93/10 + 0.03032028*M93^2/100 + M93^3/49931000,360))</f>
        <v>200.929302575632</v>
      </c>
      <c r="AO93" s="27" t="n">
        <f aca="false"> AN93 + (1.9146 - 0.004817*M93 - 0.000014*M93^2)*SIN(R93)+ (0.019993 - 0.000101*M93)*SIN(2*R93)+ 0.00029*SIN(3*R93)</f>
        <v>199.027627488406</v>
      </c>
      <c r="AP93" s="18" t="n">
        <f aca="false">ACOS(COS(X93-$A$4*AO93)*COS(Y93))/$A$4</f>
        <v>149.597659265353</v>
      </c>
      <c r="AQ93" s="25" t="n">
        <f aca="false">180 - AP93 -0.1468*(1-0.0549*SIN(R93))*SIN($A$4*AP93)/(1-0.0167*SIN($A$4*AO93))</f>
        <v>30.3244312135494</v>
      </c>
      <c r="AR93" s="25" t="n">
        <f aca="false">SIN($A$4*AI93)</f>
        <v>0.944921841320428</v>
      </c>
      <c r="AS93" s="25" t="n">
        <f aca="false">COS($A$4*AI93)*SIN($A$4*$G$2) - TAN($A$4*AG93)*COS($A$4*$G$2)</f>
        <v>-0.173170612226231</v>
      </c>
      <c r="AT93" s="25" t="n">
        <f aca="false">IF(OR(AND(AR93*AS93&gt;0), AND(AR93&lt;0,AS93&gt;0)), MOD(ATAN2(AS93,AR93)/$A$4+360,360),  ATAN2(AS93,AR93)/$A$4)</f>
        <v>100.385041184738</v>
      </c>
      <c r="AU93" s="29" t="n">
        <f aca="false">(1+SIN($A$4*H93)*SIN($A$4*AJ93))*120*ASIN(0.272481*SIN($A$4*AJ93))/$A$4</f>
        <v>30.3910536156158</v>
      </c>
      <c r="AV93" s="10" t="n">
        <f aca="false">COS(X93)</f>
        <v>0.650436082772211</v>
      </c>
      <c r="AW93" s="10" t="n">
        <f aca="false">SIN(X93)</f>
        <v>0.759560993092682</v>
      </c>
      <c r="AX93" s="30" t="n">
        <f aca="false"> 385000.56 + (-20905355*COS(Q93) - 3699111*COS(2*S93-Q93) - 2955968*COS(2*S93) - 569925*COS(2*Q93) + (1-0.002516*M93)*48888*COS(R93) - 3149*COS(2*T93)  +246158*COS(2*S93-2*Q93) -(1-0.002516*M93)*152138*COS(2*S93-R93-Q93) -170733*COS(2*S93+Q93) -(1-0.002516*M93)*204586*COS(2*S93-R93) -(1-0.002516*M93)*129620*COS(R93-Q93)  + 108743*COS(S93) +(1-0.002516*M93)*104755*COS(R93+Q93) +10321*COS(2*S93-2*T93) +79661*COS(Q93-2*T93) -34782*COS(4*S93-Q93) -23210*COS(3*Q93)  -21636*COS(4*S93-2*Q93) +(1-0.002516*M93)*24208*COS(2*S93+R93-Q93) +(1-0.002516*M93)*30824*COS(2*S93+R93) -8379*COS(S93-Q93) -(1-0.002516*M93)*16675*COS(S93+R93)  -(1-0.002516*M93)*12831*COS(2*S93-R93+Q93) -10445*COS(2*S93+2*Q93) -11650*COS(4*S93) +14403*COS(2*S93-3*Q93) -(1-0.002516*M93)*7003*COS(R93-2*Q93)  + (1-0.002516*M93)*10056*COS(2*S93-R93-2*Q93) +6322*COS(S93+Q93) -(1-0.002516*M93)*(1-0.002516*M93)*9884*COS(2*S93-2*R93) +(1-0.002516*M93)*5751*COS(R93+2*Q93) -(1-0.002516*M93)*(1-0.002516*M93)*4950*COS(2*S93-2*R93-Q93)  +4130*COS(2*S93+Q93-2*T93) -(1-0.002516*M93)*3958*COS(4*S93-R93-Q93) +3258*COS(3*S93-Q93) +(1-0.002516*M93)*2616*COS(2*S93+R93+Q93) -(1-0.002516*M93)*1897*COS(4*S93-R93-2*Q93)  -(1-0.002516*M93)*(1-0.002516*M93)*2117*COS(2*R93-Q93) +(1-0.002516*M93)*(1-0.002516*M93)*2354*COS(2*S93+2*R93-Q93) -1423*COS(4*S93+Q93) -1117*COS(4*Q93) -(1-0.002516*M93)*1571*COS(4*S93-R93)  -1739*COS(S93-2*Q93) -4421*COS(2*Q93-2*T93) +(1-0.002516*M93)*(1-0.002516*M93)*1165*COS(2*R93+Q93) +8752*COS(2*S93-Q93-2*T93))/1000</f>
        <v>390430.554364995</v>
      </c>
      <c r="AY93" s="10" t="n">
        <f aca="false">AY92+1/8</f>
        <v>12.375</v>
      </c>
      <c r="AZ93" s="17" t="n">
        <f aca="false">AZ92+1</f>
        <v>92</v>
      </c>
      <c r="BA93" s="32" t="n">
        <f aca="false">ATAN(0.99664719*TAN($A$4*input!$E$2))</f>
        <v>-0.400219206115995</v>
      </c>
      <c r="BB93" s="32" t="n">
        <f aca="false">COS(BA93)</f>
        <v>0.920975608992155</v>
      </c>
      <c r="BC93" s="32" t="n">
        <f aca="false">0.99664719*SIN(BA93)</f>
        <v>-0.388313912533463</v>
      </c>
      <c r="BD93" s="32" t="n">
        <f aca="false">6378.14/AX93</f>
        <v>0.0163361702323056</v>
      </c>
      <c r="BE93" s="33" t="n">
        <f aca="false">MOD(N93-15*AH93,360)</f>
        <v>109.104739531315</v>
      </c>
      <c r="BF93" s="27" t="n">
        <f aca="false">COS($A$4*AG93)*SIN($A$4*BE93)</f>
        <v>0.89810889090707</v>
      </c>
      <c r="BG93" s="27" t="n">
        <f aca="false">COS($A$4*AG93)*COS($A$4*BE93)-BB93*BD93</f>
        <v>-0.326126504415252</v>
      </c>
      <c r="BH93" s="27" t="n">
        <f aca="false">SIN($A$4*AG93)-BC93*BD93</f>
        <v>0.317195377408275</v>
      </c>
      <c r="BI93" s="46" t="n">
        <f aca="false">SQRT(BF93^2+BG93^2+BH93^2)</f>
        <v>1.00676262557646</v>
      </c>
      <c r="BJ93" s="35" t="n">
        <f aca="false">AX93*BI93</f>
        <v>393070.890017777</v>
      </c>
    </row>
    <row r="94" customFormat="false" ht="15" hidden="false" customHeight="false" outlineLevel="0" collapsed="false">
      <c r="A94" s="20"/>
      <c r="B94" s="20"/>
      <c r="C94" s="15" t="n">
        <f aca="false">MOD(C93+3,24)</f>
        <v>12</v>
      </c>
      <c r="D94" s="105" t="n">
        <v>12</v>
      </c>
      <c r="E94" s="102" t="n">
        <f aca="false">input!$C$2</f>
        <v>10</v>
      </c>
      <c r="F94" s="102" t="n">
        <f aca="false">input!$D$2</f>
        <v>2022</v>
      </c>
      <c r="G94" s="0"/>
      <c r="H94" s="39" t="n">
        <f aca="false">AM94</f>
        <v>-64.5294907055429</v>
      </c>
      <c r="I94" s="48" t="n">
        <f aca="false">H94+1.02/(TAN($A$4*(H94+10.3/(H94+5.11)))*60)</f>
        <v>-64.5375255398207</v>
      </c>
      <c r="J94" s="39" t="n">
        <f aca="false">100*(1+COS($A$4*AQ94))/2</f>
        <v>92.5004787585661</v>
      </c>
      <c r="K94" s="48" t="n">
        <f aca="false">IF(AI94&gt;180,AT94-180,AT94+180)</f>
        <v>265.526328739524</v>
      </c>
      <c r="L94" s="10" t="n">
        <f aca="false">L93+1/8</f>
        <v>2459865</v>
      </c>
      <c r="M94" s="49" t="n">
        <f aca="false">(L94-2451545)/36525</f>
        <v>0.227789185489391</v>
      </c>
      <c r="N94" s="15" t="n">
        <f aca="false">MOD(280.46061837+360.98564736629*(L94-2451545)+0.000387933*M94^2-M94^3/38710000+$G$4,360)</f>
        <v>201.046726031695</v>
      </c>
      <c r="O94" s="18" t="n">
        <f aca="false">0.60643382+1336.85522467*M94 - 0.00000313*M94^2 - INT(0.60643382+1336.85522467*M94 - 0.00000313*M94^2)</f>
        <v>0.127596402406766</v>
      </c>
      <c r="P94" s="15" t="n">
        <f aca="false">22640*SIN(Q94)-4586*SIN(Q94-2*S94)+2370*SIN(2*S94)+769*SIN(2*Q94)-668*SIN(R94)-412*SIN(2*T94)-212*SIN(2*Q94-2*S94)-206*SIN(Q94+R94-2*S94)+192*SIN(Q94+2*S94)-165*SIN(R94-2*S94)-125*SIN(S94)-110*SIN(Q94+R94)+148*SIN(Q94-R94)-55*SIN(2*T94-2*S94)</f>
        <v>18282.3639920184</v>
      </c>
      <c r="Q94" s="18" t="n">
        <f aca="false">2*PI()*(0.374897+1325.55241*M94 - INT(0.374897+1325.55241*M94))</f>
        <v>2.01942076793325</v>
      </c>
      <c r="R94" s="26" t="n">
        <f aca="false">2*PI()*(0.99312619+99.99735956*M94 - 0.00000044*M94^2 - INT(0.99312619+99.99735956*M94- 0.00000044*M94^2))</f>
        <v>4.84712090900025</v>
      </c>
      <c r="S94" s="26" t="n">
        <f aca="false">2*PI()*(0.827361+1236.853086*M94 - INT(0.827361+1236.853086*M94))</f>
        <v>3.57587404401823</v>
      </c>
      <c r="T94" s="26" t="n">
        <f aca="false">2*PI()*(0.259086+1342.227825*M94 - INT(0.259086+1342.227825*M94))</f>
        <v>0.0255662681134018</v>
      </c>
      <c r="U94" s="26" t="n">
        <f aca="false">T94+(P94+412*SIN(2*T94)+541*SIN(R94))/206264.8062</f>
        <v>0.111704687097581</v>
      </c>
      <c r="V94" s="26" t="n">
        <f aca="false">T94-2*S94</f>
        <v>-7.12618181992305</v>
      </c>
      <c r="W94" s="25" t="n">
        <f aca="false">-526*SIN(V94)+44*SIN(Q94+V94)-31*SIN(-Q94+V94)-23*SIN(R94+V94)+11*SIN(-R94+V94)-25*SIN(-2*Q94+T94)+21*SIN(-Q94+T94)</f>
        <v>427.229866193628</v>
      </c>
      <c r="X94" s="26" t="n">
        <f aca="false">2*PI()*(O94+P94/1296000-INT(O94+P94/1296000))</f>
        <v>0.890347242714716</v>
      </c>
      <c r="Y94" s="26" t="n">
        <f aca="false">(18520*SIN(U94)+W94)/206264.8062</f>
        <v>0.0120801074529192</v>
      </c>
      <c r="Z94" s="26" t="n">
        <f aca="false">Y94*180/PI()</f>
        <v>0.692139173116801</v>
      </c>
      <c r="AA94" s="26" t="n">
        <f aca="false">COS(Y94)*COS(X94)</f>
        <v>0.629096251646136</v>
      </c>
      <c r="AB94" s="26" t="n">
        <f aca="false">COS(Y94)*SIN(X94)</f>
        <v>0.77723354551061</v>
      </c>
      <c r="AC94" s="26" t="n">
        <f aca="false">SIN(Y94)</f>
        <v>0.0120798136487374</v>
      </c>
      <c r="AD94" s="26" t="n">
        <f aca="false">COS($A$4*(23.4393-46.815*M94/3600))*AB94-SIN($A$4*(23.4393-46.815*M94/3600))*AC94</f>
        <v>0.708309268457075</v>
      </c>
      <c r="AE94" s="26" t="n">
        <f aca="false">SIN($A$4*(23.4393-46.815*M94/3600))*AB94+COS($A$4*(23.4393-46.815*M94/3600))*AC94</f>
        <v>0.320212252080686</v>
      </c>
      <c r="AF94" s="26" t="n">
        <f aca="false">SQRT(1-AE94*AE94)</f>
        <v>0.947345825777163</v>
      </c>
      <c r="AG94" s="10" t="n">
        <f aca="false">ATAN(AE94/AF94)/$A$4</f>
        <v>18.6757614729496</v>
      </c>
      <c r="AH94" s="26" t="n">
        <f aca="false">IF(24*ATAN(AD94/(AA94+AF94))/PI()&gt;0,24*ATAN(AD94/(AA94+AF94))/PI(),24*ATAN(AD94/(AA94+AF94))/PI()+24)</f>
        <v>3.22597361973246</v>
      </c>
      <c r="AI94" s="10" t="n">
        <f aca="false">IF(N94-15*AH94&gt;0,N94-15*AH94,360+N94-15*AH94)</f>
        <v>152.657121735708</v>
      </c>
      <c r="AJ94" s="18" t="n">
        <f aca="false">0.950724+0.051818*COS(Q94)+0.009531*COS(2*S94-Q94)+0.007843*COS(2*S94)+0.002824*COS(2*Q94)+0.000857*COS(2*S94+Q94)+0.000533*COS(2*S94-R94)+0.000401*COS(2*S94-R94-Q94)+0.00032*COS(Q94-R94)-0.000271*COS(S94)</f>
        <v>0.934579200145036</v>
      </c>
      <c r="AK94" s="50" t="n">
        <f aca="false">ASIN(COS($A$4*$G$2)*COS($A$4*AG94)*COS($A$4*AI94)+SIN($A$4*$G$2)*SIN($A$4*AG94))/$A$4</f>
        <v>-64.1218068513941</v>
      </c>
      <c r="AL94" s="18" t="n">
        <f aca="false">ASIN((0.9983271+0.0016764*COS($A$4*2*$G$2))*COS($A$4*AK94)*SIN($A$4*AJ94))/$A$4</f>
        <v>0.40768385414887</v>
      </c>
      <c r="AM94" s="18" t="n">
        <f aca="false">AK94-AL94</f>
        <v>-64.5294907055429</v>
      </c>
      <c r="AN94" s="10" t="n">
        <f aca="false"> IF(280.4664567 + 360007.6982779*M94/10 + 0.03032028*M94^2/100 + M94^3/49931000&lt;0,MOD(280.4664567 + 360007.6982779*M94/10 + 0.03032028*M94^2/100 + M94^3/49931000+360,360),MOD(280.4664567 + 360007.6982779*M94/10 + 0.03032028*M94^2/100 + M94^3/49931000,360))</f>
        <v>201.052508496119</v>
      </c>
      <c r="AO94" s="27" t="n">
        <f aca="false"> AN94 + (1.9146 - 0.004817*M94 - 0.000014*M94^2)*SIN(R94)+ (0.019993 - 0.000101*M94)*SIN(2*R94)+ 0.00029*SIN(3*R94)</f>
        <v>199.151298159589</v>
      </c>
      <c r="AP94" s="18" t="n">
        <f aca="false">ACOS(COS(X94-$A$4*AO94)*COS(Y94))/$A$4</f>
        <v>148.131433239652</v>
      </c>
      <c r="AQ94" s="25" t="n">
        <f aca="false">180 - AP94 -0.1468*(1-0.0549*SIN(R94))*SIN($A$4*AP94)/(1-0.0167*SIN($A$4*AO94))</f>
        <v>31.7872891535349</v>
      </c>
      <c r="AR94" s="25" t="n">
        <f aca="false">SIN($A$4*AI94)</f>
        <v>0.459314437702524</v>
      </c>
      <c r="AS94" s="25" t="n">
        <f aca="false">COS($A$4*AI94)*SIN($A$4*$G$2) - TAN($A$4*AG94)*COS($A$4*$G$2)</f>
        <v>0.0359364649130314</v>
      </c>
      <c r="AT94" s="25" t="n">
        <f aca="false">IF(OR(AND(AR94*AS94&gt;0), AND(AR94&lt;0,AS94&gt;0)), MOD(ATAN2(AS94,AR94)/$A$4+360,360),  ATAN2(AS94,AR94)/$A$4)</f>
        <v>85.5263287395239</v>
      </c>
      <c r="AU94" s="29" t="n">
        <f aca="false">(1+SIN($A$4*H94)*SIN($A$4*AJ94))*120*ASIN(0.272481*SIN($A$4*AJ94))/$A$4</f>
        <v>30.1073832702149</v>
      </c>
      <c r="AV94" s="10" t="n">
        <f aca="false">COS(X94)</f>
        <v>0.629142156129514</v>
      </c>
      <c r="AW94" s="10" t="n">
        <f aca="false">SIN(X94)</f>
        <v>0.777290259414529</v>
      </c>
      <c r="AX94" s="30" t="n">
        <f aca="false"> 385000.56 + (-20905355*COS(Q94) - 3699111*COS(2*S94-Q94) - 2955968*COS(2*S94) - 569925*COS(2*Q94) + (1-0.002516*M94)*48888*COS(R94) - 3149*COS(2*T94)  +246158*COS(2*S94-2*Q94) -(1-0.002516*M94)*152138*COS(2*S94-R94-Q94) -170733*COS(2*S94+Q94) -(1-0.002516*M94)*204586*COS(2*S94-R94) -(1-0.002516*M94)*129620*COS(R94-Q94)  + 108743*COS(S94) +(1-0.002516*M94)*104755*COS(R94+Q94) +10321*COS(2*S94-2*T94) +79661*COS(Q94-2*T94) -34782*COS(4*S94-Q94) -23210*COS(3*Q94)  -21636*COS(4*S94-2*Q94) +(1-0.002516*M94)*24208*COS(2*S94+R94-Q94) +(1-0.002516*M94)*30824*COS(2*S94+R94) -8379*COS(S94-Q94) -(1-0.002516*M94)*16675*COS(S94+R94)  -(1-0.002516*M94)*12831*COS(2*S94-R94+Q94) -10445*COS(2*S94+2*Q94) -11650*COS(4*S94) +14403*COS(2*S94-3*Q94) -(1-0.002516*M94)*7003*COS(R94-2*Q94)  + (1-0.002516*M94)*10056*COS(2*S94-R94-2*Q94) +6322*COS(S94+Q94) -(1-0.002516*M94)*(1-0.002516*M94)*9884*COS(2*S94-2*R94) +(1-0.002516*M94)*5751*COS(R94+2*Q94) -(1-0.002516*M94)*(1-0.002516*M94)*4950*COS(2*S94-2*R94-Q94)  +4130*COS(2*S94+Q94-2*T94) -(1-0.002516*M94)*3958*COS(4*S94-R94-Q94) +3258*COS(3*S94-Q94) +(1-0.002516*M94)*2616*COS(2*S94+R94+Q94) -(1-0.002516*M94)*1897*COS(4*S94-R94-2*Q94)  -(1-0.002516*M94)*(1-0.002516*M94)*2117*COS(2*R94-Q94) +(1-0.002516*M94)*(1-0.002516*M94)*2354*COS(2*S94+2*R94-Q94) -1423*COS(4*S94+Q94) -1117*COS(4*Q94) -(1-0.002516*M94)*1571*COS(4*S94-R94)  -1739*COS(S94-2*Q94) -4421*COS(2*Q94-2*T94) +(1-0.002516*M94)*(1-0.002516*M94)*1165*COS(2*R94+Q94) +8752*COS(2*S94-Q94-2*T94))/1000</f>
        <v>390991.542352595</v>
      </c>
      <c r="AY94" s="10" t="n">
        <f aca="false">AY93+1/8</f>
        <v>12.5</v>
      </c>
      <c r="AZ94" s="17" t="n">
        <f aca="false">AZ93+1</f>
        <v>93</v>
      </c>
      <c r="BA94" s="32" t="n">
        <f aca="false">ATAN(0.99664719*TAN($A$4*input!$E$2))</f>
        <v>-0.400219206115995</v>
      </c>
      <c r="BB94" s="32" t="n">
        <f aca="false">COS(BA94)</f>
        <v>0.920975608992155</v>
      </c>
      <c r="BC94" s="32" t="n">
        <f aca="false">0.99664719*SIN(BA94)</f>
        <v>-0.388313912533463</v>
      </c>
      <c r="BD94" s="32" t="n">
        <f aca="false">6378.14/AX94</f>
        <v>0.016312731374246</v>
      </c>
      <c r="BE94" s="33" t="n">
        <f aca="false">MOD(N94-15*AH94,360)</f>
        <v>152.657121735708</v>
      </c>
      <c r="BF94" s="27" t="n">
        <f aca="false">COS($A$4*AG94)*SIN($A$4*BE94)</f>
        <v>0.435129615276671</v>
      </c>
      <c r="BG94" s="27" t="n">
        <f aca="false">COS($A$4*AG94)*COS($A$4*BE94)-BB94*BD94</f>
        <v>-0.856526052857717</v>
      </c>
      <c r="BH94" s="27" t="n">
        <f aca="false">SIN($A$4*AG94)-BC94*BD94</f>
        <v>0.326546712624727</v>
      </c>
      <c r="BI94" s="46" t="n">
        <f aca="false">SQRT(BF94^2+BG94^2+BH94^2)</f>
        <v>1.01469572623563</v>
      </c>
      <c r="BJ94" s="35" t="n">
        <f aca="false">AX94*BI94</f>
        <v>396737.447019457</v>
      </c>
    </row>
    <row r="95" customFormat="false" ht="15" hidden="false" customHeight="false" outlineLevel="0" collapsed="false">
      <c r="A95" s="20"/>
      <c r="B95" s="20"/>
      <c r="C95" s="15" t="n">
        <f aca="false">MOD(C94+3,24)</f>
        <v>15</v>
      </c>
      <c r="D95" s="105" t="n">
        <v>12</v>
      </c>
      <c r="E95" s="102" t="n">
        <f aca="false">input!$C$2</f>
        <v>10</v>
      </c>
      <c r="F95" s="102" t="n">
        <f aca="false">input!$D$2</f>
        <v>2022</v>
      </c>
      <c r="G95" s="0"/>
      <c r="H95" s="39" t="n">
        <f aca="false">AM95</f>
        <v>-74.6802385116645</v>
      </c>
      <c r="I95" s="48" t="n">
        <f aca="false">H95+1.02/(TAN($A$4*(H95+10.3/(H95+5.11)))*60)</f>
        <v>-74.6848482971202</v>
      </c>
      <c r="J95" s="39" t="n">
        <f aca="false">100*(1+COS($A$4*AQ95))/2</f>
        <v>91.816434272944</v>
      </c>
      <c r="K95" s="48" t="n">
        <f aca="false">IF(AI95&gt;180,AT95-180,AT95+180)</f>
        <v>100.988301586325</v>
      </c>
      <c r="L95" s="10" t="n">
        <f aca="false">L94+1/8</f>
        <v>2459865.125</v>
      </c>
      <c r="M95" s="49" t="n">
        <f aca="false">(L95-2451545)/36525</f>
        <v>0.227792607802875</v>
      </c>
      <c r="N95" s="15" t="n">
        <f aca="false">MOD(280.46061837+360.98564736629*(L95-2451545)+0.000387933*M95^2-M95^3/38710000+$G$4,360)</f>
        <v>246.169931952842</v>
      </c>
      <c r="O95" s="18" t="n">
        <f aca="false">0.60643382+1336.85522467*M95 - 0.00000313*M95^2 - INT(0.60643382+1336.85522467*M95 - 0.00000313*M95^2)</f>
        <v>0.132171540063325</v>
      </c>
      <c r="P95" s="15" t="n">
        <f aca="false">22640*SIN(Q95)-4586*SIN(Q95-2*S95)+2370*SIN(2*S95)+769*SIN(2*Q95)-668*SIN(R95)-412*SIN(2*T95)-212*SIN(2*Q95-2*S95)-206*SIN(Q95+R95-2*S95)+192*SIN(Q95+2*S95)-165*SIN(R95-2*S95)-125*SIN(S95)-110*SIN(Q95+R95)+148*SIN(Q95-R95)-55*SIN(2*T95-2*S95)</f>
        <v>18050.7089304528</v>
      </c>
      <c r="Q95" s="18" t="n">
        <f aca="false">2*PI()*(0.374897+1325.55241*M95 - INT(0.374897+1325.55241*M95))</f>
        <v>2.0479241609054</v>
      </c>
      <c r="R95" s="26" t="n">
        <f aca="false">2*PI()*(0.99312619+99.99735956*M95 - 0.00000044*M95^2 - INT(0.99312619+99.99735956*M95- 0.00000044*M95^2))</f>
        <v>4.84927115519835</v>
      </c>
      <c r="S95" s="26" t="n">
        <f aca="false">2*PI()*(0.827361+1236.853086*M95 - INT(0.827361+1236.853086*M95))</f>
        <v>3.60247013278279</v>
      </c>
      <c r="T95" s="26" t="n">
        <f aca="false">2*PI()*(0.259086+1342.227825*M95 - INT(0.259086+1342.227825*M95))</f>
        <v>0.0544282330308041</v>
      </c>
      <c r="U95" s="26" t="n">
        <f aca="false">T95+(P95+412*SIN(2*T95)+541*SIN(R95))/206264.8062</f>
        <v>0.139559235128051</v>
      </c>
      <c r="V95" s="26" t="n">
        <f aca="false">T95-2*S95</f>
        <v>-7.15051203253478</v>
      </c>
      <c r="W95" s="25" t="n">
        <f aca="false">-526*SIN(V95)+44*SIN(Q95+V95)-31*SIN(-Q95+V95)-23*SIN(R95+V95)+11*SIN(-R95+V95)-25*SIN(-2*Q95+T95)+21*SIN(-Q95+T95)</f>
        <v>433.082708958086</v>
      </c>
      <c r="X95" s="26" t="n">
        <f aca="false">2*PI()*(O95+P95/1296000-INT(O95+P95/1296000))</f>
        <v>0.917970584985279</v>
      </c>
      <c r="Y95" s="26" t="n">
        <f aca="false">(18520*SIN(U95)+W95)/206264.8062</f>
        <v>0.0145896815743489</v>
      </c>
      <c r="Z95" s="26" t="n">
        <f aca="false">Y95*180/PI()</f>
        <v>0.835927178649972</v>
      </c>
      <c r="AA95" s="26" t="n">
        <f aca="false">COS(Y95)*COS(X95)</f>
        <v>0.607368866225971</v>
      </c>
      <c r="AB95" s="26" t="n">
        <f aca="false">COS(Y95)*SIN(X95)</f>
        <v>0.794285979124311</v>
      </c>
      <c r="AC95" s="26" t="n">
        <f aca="false">SIN(Y95)</f>
        <v>0.0145891639894849</v>
      </c>
      <c r="AD95" s="26" t="n">
        <f aca="false">COS($A$4*(23.4393-46.815*M95/3600))*AB95-SIN($A$4*(23.4393-46.815*M95/3600))*AC95</f>
        <v>0.722956876712685</v>
      </c>
      <c r="AE95" s="26" t="n">
        <f aca="false">SIN($A$4*(23.4393-46.815*M95/3600))*AB95+COS($A$4*(23.4393-46.815*M95/3600))*AC95</f>
        <v>0.329296848987683</v>
      </c>
      <c r="AF95" s="26" t="n">
        <f aca="false">SQRT(1-AE95*AE95)</f>
        <v>0.944226448076299</v>
      </c>
      <c r="AG95" s="10" t="n">
        <f aca="false">ATAN(AE95/AF95)/$A$4</f>
        <v>19.2261026538191</v>
      </c>
      <c r="AH95" s="26" t="n">
        <f aca="false">IF(24*ATAN(AD95/(AA95+AF95))/PI()&gt;0,24*ATAN(AD95/(AA95+AF95))/PI(),24*ATAN(AD95/(AA95+AF95))/PI()+24)</f>
        <v>3.33105247970556</v>
      </c>
      <c r="AI95" s="10" t="n">
        <f aca="false">IF(N95-15*AH95&gt;0,N95-15*AH95,360+N95-15*AH95)</f>
        <v>196.204144757258</v>
      </c>
      <c r="AJ95" s="18" t="n">
        <f aca="false">0.950724+0.051818*COS(Q95)+0.009531*COS(2*S95-Q95)+0.007843*COS(2*S95)+0.002824*COS(2*Q95)+0.000857*COS(2*S95+Q95)+0.000533*COS(2*S95-R95)+0.000401*COS(2*S95-R95-Q95)+0.00032*COS(Q95-R95)-0.000271*COS(S95)</f>
        <v>0.933236902332451</v>
      </c>
      <c r="AK95" s="50" t="n">
        <f aca="false">ASIN(COS($A$4*$G$2)*COS($A$4*AG95)*COS($A$4*AI95)+SIN($A$4*$G$2)*SIN($A$4*AG95))/$A$4</f>
        <v>-74.4298790087828</v>
      </c>
      <c r="AL95" s="18" t="n">
        <f aca="false">ASIN((0.9983271+0.0016764*COS($A$4*2*$G$2))*COS($A$4*AK95)*SIN($A$4*AJ95))/$A$4</f>
        <v>0.250359502881666</v>
      </c>
      <c r="AM95" s="18" t="n">
        <f aca="false">AK95-AL95</f>
        <v>-74.6802385116645</v>
      </c>
      <c r="AN95" s="10" t="n">
        <f aca="false"> IF(280.4664567 + 360007.6982779*M95/10 + 0.03032028*M95^2/100 + M95^3/49931000&lt;0,MOD(280.4664567 + 360007.6982779*M95/10 + 0.03032028*M95^2/100 + M95^3/49931000+360,360),MOD(280.4664567 + 360007.6982779*M95/10 + 0.03032028*M95^2/100 + M95^3/49931000,360))</f>
        <v>201.175714416604</v>
      </c>
      <c r="AO95" s="27" t="n">
        <f aca="false"> AN95 + (1.9146 - 0.004817*M95 - 0.000014*M95^2)*SIN(R95)+ (0.019993 - 0.000101*M95)*SIN(2*R95)+ 0.00029*SIN(3*R95)</f>
        <v>199.274977684996</v>
      </c>
      <c r="AP95" s="18" t="n">
        <f aca="false">ACOS(COS(X95-$A$4*AO95)*COS(Y95))/$A$4</f>
        <v>146.669862866417</v>
      </c>
      <c r="AQ95" s="25" t="n">
        <f aca="false">180 - AP95 -0.1468*(1-0.0549*SIN(R95))*SIN($A$4*AP95)/(1-0.0167*SIN($A$4*AO95))</f>
        <v>33.2455554596401</v>
      </c>
      <c r="AR95" s="25" t="n">
        <f aca="false">SIN($A$4*AI95)</f>
        <v>-0.279060572628725</v>
      </c>
      <c r="AS95" s="25" t="n">
        <f aca="false">COS($A$4*AI95)*SIN($A$4*$G$2) - TAN($A$4*AG95)*COS($A$4*$G$2)</f>
        <v>0.0541847524776535</v>
      </c>
      <c r="AT95" s="25" t="n">
        <f aca="false">IF(OR(AND(AR95*AS95&gt;0), AND(AR95&lt;0,AS95&gt;0)), MOD(ATAN2(AS95,AR95)/$A$4+360,360),  ATAN2(AS95,AR95)/$A$4)</f>
        <v>280.988301586325</v>
      </c>
      <c r="AU95" s="29" t="n">
        <f aca="false">(1+SIN($A$4*H95)*SIN($A$4*AJ95))*120*ASIN(0.272481*SIN($A$4*AJ95))/$A$4</f>
        <v>30.0341463211212</v>
      </c>
      <c r="AV95" s="10" t="n">
        <f aca="false">COS(X95)</f>
        <v>0.607433513866209</v>
      </c>
      <c r="AW95" s="10" t="n">
        <f aca="false">SIN(X95)</f>
        <v>0.794370522006041</v>
      </c>
      <c r="AX95" s="30" t="n">
        <f aca="false"> 385000.56 + (-20905355*COS(Q95) - 3699111*COS(2*S95-Q95) - 2955968*COS(2*S95) - 569925*COS(2*Q95) + (1-0.002516*M95)*48888*COS(R95) - 3149*COS(2*T95)  +246158*COS(2*S95-2*Q95) -(1-0.002516*M95)*152138*COS(2*S95-R95-Q95) -170733*COS(2*S95+Q95) -(1-0.002516*M95)*204586*COS(2*S95-R95) -(1-0.002516*M95)*129620*COS(R95-Q95)  + 108743*COS(S95) +(1-0.002516*M95)*104755*COS(R95+Q95) +10321*COS(2*S95-2*T95) +79661*COS(Q95-2*T95) -34782*COS(4*S95-Q95) -23210*COS(3*Q95)  -21636*COS(4*S95-2*Q95) +(1-0.002516*M95)*24208*COS(2*S95+R95-Q95) +(1-0.002516*M95)*30824*COS(2*S95+R95) -8379*COS(S95-Q95) -(1-0.002516*M95)*16675*COS(S95+R95)  -(1-0.002516*M95)*12831*COS(2*S95-R95+Q95) -10445*COS(2*S95+2*Q95) -11650*COS(4*S95) +14403*COS(2*S95-3*Q95) -(1-0.002516*M95)*7003*COS(R95-2*Q95)  + (1-0.002516*M95)*10056*COS(2*S95-R95-2*Q95) +6322*COS(S95+Q95) -(1-0.002516*M95)*(1-0.002516*M95)*9884*COS(2*S95-2*R95) +(1-0.002516*M95)*5751*COS(R95+2*Q95) -(1-0.002516*M95)*(1-0.002516*M95)*4950*COS(2*S95-2*R95-Q95)  +4130*COS(2*S95+Q95-2*T95) -(1-0.002516*M95)*3958*COS(4*S95-R95-Q95) +3258*COS(3*S95-Q95) +(1-0.002516*M95)*2616*COS(2*S95+R95+Q95) -(1-0.002516*M95)*1897*COS(4*S95-R95-2*Q95)  -(1-0.002516*M95)*(1-0.002516*M95)*2117*COS(2*R95-Q95) +(1-0.002516*M95)*(1-0.002516*M95)*2354*COS(2*S95+2*R95-Q95) -1423*COS(4*S95+Q95) -1117*COS(4*Q95) -(1-0.002516*M95)*1571*COS(4*S95-R95)  -1739*COS(S95-2*Q95) -4421*COS(2*Q95-2*T95) +(1-0.002516*M95)*(1-0.002516*M95)*1165*COS(2*R95+Q95) +8752*COS(2*S95-Q95-2*T95))/1000</f>
        <v>391549.085429172</v>
      </c>
      <c r="AY95" s="10" t="n">
        <f aca="false">AY94+1/8</f>
        <v>12.625</v>
      </c>
      <c r="AZ95" s="17" t="n">
        <f aca="false">AZ94+1</f>
        <v>94</v>
      </c>
      <c r="BA95" s="32" t="n">
        <f aca="false">ATAN(0.99664719*TAN($A$4*input!$E$2))</f>
        <v>-0.400219206115995</v>
      </c>
      <c r="BB95" s="32" t="n">
        <f aca="false">COS(BA95)</f>
        <v>0.920975608992155</v>
      </c>
      <c r="BC95" s="32" t="n">
        <f aca="false">0.99664719*SIN(BA95)</f>
        <v>-0.388313912533463</v>
      </c>
      <c r="BD95" s="32" t="n">
        <f aca="false">6378.14/AX95</f>
        <v>0.0162895029955414</v>
      </c>
      <c r="BE95" s="33" t="n">
        <f aca="false">MOD(N95-15*AH95,360)</f>
        <v>196.204144757258</v>
      </c>
      <c r="BF95" s="27" t="n">
        <f aca="false">COS($A$4*AG95)*SIN($A$4*BE95)</f>
        <v>-0.263496373291359</v>
      </c>
      <c r="BG95" s="27" t="n">
        <f aca="false">COS($A$4*AG95)*COS($A$4*BE95)-BB95*BD95</f>
        <v>-0.921717872012506</v>
      </c>
      <c r="BH95" s="27" t="n">
        <f aca="false">SIN($A$4*AG95)-BC95*BD95</f>
        <v>0.335622289629107</v>
      </c>
      <c r="BI95" s="46" t="n">
        <f aca="false">SQRT(BF95^2+BG95^2+BH95^2)</f>
        <v>1.01569508004167</v>
      </c>
      <c r="BJ95" s="35" t="n">
        <f aca="false">AX95*BI95</f>
        <v>397694.479665224</v>
      </c>
    </row>
    <row r="96" customFormat="false" ht="15" hidden="false" customHeight="false" outlineLevel="0" collapsed="false">
      <c r="A96" s="20"/>
      <c r="B96" s="20"/>
      <c r="C96" s="15" t="n">
        <f aca="false">MOD(C95+3,24)</f>
        <v>18</v>
      </c>
      <c r="D96" s="105" t="n">
        <v>12</v>
      </c>
      <c r="E96" s="102" t="n">
        <f aca="false">input!$C$2</f>
        <v>10</v>
      </c>
      <c r="F96" s="102" t="n">
        <f aca="false">input!$D$2</f>
        <v>2022</v>
      </c>
      <c r="G96" s="0"/>
      <c r="H96" s="39" t="n">
        <f aca="false">AM96</f>
        <v>-35.4174890661336</v>
      </c>
      <c r="I96" s="48" t="n">
        <f aca="false">H96+1.02/(TAN($A$4*(H96+10.3/(H96+5.11)))*60)</f>
        <v>-35.4410971776845</v>
      </c>
      <c r="J96" s="39" t="n">
        <f aca="false">100*(1+COS($A$4*AQ96))/2</f>
        <v>91.1075814516594</v>
      </c>
      <c r="K96" s="48" t="n">
        <f aca="false">IF(AI96&gt;180,AT96-180,AT96+180)</f>
        <v>81.1928495087404</v>
      </c>
      <c r="L96" s="10" t="n">
        <f aca="false">L95+1/8</f>
        <v>2459865.25</v>
      </c>
      <c r="M96" s="49" t="n">
        <f aca="false">(L96-2451545)/36525</f>
        <v>0.227796030116359</v>
      </c>
      <c r="N96" s="15" t="n">
        <f aca="false">MOD(280.46061837+360.98564736629*(L96-2451545)+0.000387933*M96^2-M96^3/38710000+$G$4,360)</f>
        <v>291.293137873989</v>
      </c>
      <c r="O96" s="18" t="n">
        <f aca="false">0.60643382+1336.85522467*M96 - 0.00000313*M96^2 - INT(0.60643382+1336.85522467*M96 - 0.00000313*M96^2)</f>
        <v>0.136746677719827</v>
      </c>
      <c r="P96" s="15" t="n">
        <f aca="false">22640*SIN(Q96)-4586*SIN(Q96-2*S96)+2370*SIN(2*S96)+769*SIN(2*Q96)-668*SIN(R96)-412*SIN(2*T96)-212*SIN(2*Q96-2*S96)-206*SIN(Q96+R96-2*S96)+192*SIN(Q96+2*S96)-165*SIN(R96-2*S96)-125*SIN(S96)-110*SIN(Q96+R96)+148*SIN(Q96-R96)-55*SIN(2*T96-2*S96)</f>
        <v>17801.5812078286</v>
      </c>
      <c r="Q96" s="18" t="n">
        <f aca="false">2*PI()*(0.374897+1325.55241*M96 - INT(0.374897+1325.55241*M96))</f>
        <v>2.0764275538772</v>
      </c>
      <c r="R96" s="26" t="n">
        <f aca="false">2*PI()*(0.99312619+99.99735956*M96 - 0.00000044*M96^2 - INT(0.99312619+99.99735956*M96- 0.00000044*M96^2))</f>
        <v>4.85142140139644</v>
      </c>
      <c r="S96" s="26" t="n">
        <f aca="false">2*PI()*(0.827361+1236.853086*M96 - INT(0.827361+1236.853086*M96))</f>
        <v>3.62906622154771</v>
      </c>
      <c r="T96" s="26" t="n">
        <f aca="false">2*PI()*(0.259086+1342.227825*M96 - INT(0.259086+1342.227825*M96))</f>
        <v>0.0832901979482064</v>
      </c>
      <c r="U96" s="26" t="n">
        <f aca="false">T96+(P96+412*SIN(2*T96)+541*SIN(R96))/206264.8062</f>
        <v>0.167328362451916</v>
      </c>
      <c r="V96" s="26" t="n">
        <f aca="false">T96-2*S96</f>
        <v>-7.17484224514722</v>
      </c>
      <c r="W96" s="25" t="n">
        <f aca="false">-526*SIN(V96)+44*SIN(Q96+V96)-31*SIN(-Q96+V96)-23*SIN(R96+V96)+11*SIN(-R96+V96)-25*SIN(-2*Q96+T96)+21*SIN(-Q96+T96)</f>
        <v>438.680932035847</v>
      </c>
      <c r="X96" s="26" t="n">
        <f aca="false">2*PI()*(O96+P96/1296000-INT(O96+P96/1296000))</f>
        <v>0.945509217404219</v>
      </c>
      <c r="Y96" s="26" t="n">
        <f aca="false">(18520*SIN(U96)+W96)/206264.8062</f>
        <v>0.0170807686373546</v>
      </c>
      <c r="Z96" s="26" t="n">
        <f aca="false">Y96*180/PI()</f>
        <v>0.978655953759843</v>
      </c>
      <c r="AA96" s="26" t="n">
        <f aca="false">COS(Y96)*COS(X96)</f>
        <v>0.585244700221319</v>
      </c>
      <c r="AB96" s="26" t="n">
        <f aca="false">COS(Y96)*SIN(X96)</f>
        <v>0.810676826224678</v>
      </c>
      <c r="AC96" s="26" t="n">
        <f aca="false">SIN(Y96)</f>
        <v>0.0170799380895308</v>
      </c>
      <c r="AD96" s="26" t="n">
        <f aca="false">COS($A$4*(23.4393-46.815*M96/3600))*AB96-SIN($A$4*(23.4393-46.815*M96/3600))*AC96</f>
        <v>0.737004865985141</v>
      </c>
      <c r="AE96" s="26" t="n">
        <f aca="false">SIN($A$4*(23.4393-46.815*M96/3600))*AB96+COS($A$4*(23.4393-46.815*M96/3600))*AC96</f>
        <v>0.338101269410635</v>
      </c>
      <c r="AF96" s="26" t="n">
        <f aca="false">SQRT(1-AE96*AE96)</f>
        <v>0.941109734102733</v>
      </c>
      <c r="AG96" s="10" t="n">
        <f aca="false">ATAN(AE96/AF96)/$A$4</f>
        <v>19.7612352938035</v>
      </c>
      <c r="AH96" s="26" t="n">
        <f aca="false">IF(24*ATAN(AD96/(AA96+AF96))/PI()&gt;0,24*ATAN(AD96/(AA96+AF96))/PI(),24*ATAN(AD96/(AA96+AF96))/PI()+24)</f>
        <v>3.43649525441942</v>
      </c>
      <c r="AI96" s="10" t="n">
        <f aca="false">IF(N96-15*AH96&gt;0,N96-15*AH96,360+N96-15*AH96)</f>
        <v>239.745709057697</v>
      </c>
      <c r="AJ96" s="18" t="n">
        <f aca="false">0.950724+0.051818*COS(Q96)+0.009531*COS(2*S96-Q96)+0.007843*COS(2*S96)+0.002824*COS(2*Q96)+0.000857*COS(2*S96+Q96)+0.000533*COS(2*S96-R96)+0.000401*COS(2*S96-R96-Q96)+0.00032*COS(Q96-R96)-0.000271*COS(S96)</f>
        <v>0.931909790359131</v>
      </c>
      <c r="AK96" s="50" t="n">
        <f aca="false">ASIN(COS($A$4*$G$2)*COS($A$4*AG96)*COS($A$4*AI96)+SIN($A$4*$G$2)*SIN($A$4*AG96))/$A$4</f>
        <v>-34.6512747756007</v>
      </c>
      <c r="AL96" s="18" t="n">
        <f aca="false">ASIN((0.9983271+0.0016764*COS($A$4*2*$G$2))*COS($A$4*AK96)*SIN($A$4*AJ96))/$A$4</f>
        <v>0.766214290532915</v>
      </c>
      <c r="AM96" s="18" t="n">
        <f aca="false">AK96-AL96</f>
        <v>-35.4174890661336</v>
      </c>
      <c r="AN96" s="10" t="n">
        <f aca="false"> IF(280.4664567 + 360007.6982779*M96/10 + 0.03032028*M96^2/100 + M96^3/49931000&lt;0,MOD(280.4664567 + 360007.6982779*M96/10 + 0.03032028*M96^2/100 + M96^3/49931000+360,360),MOD(280.4664567 + 360007.6982779*M96/10 + 0.03032028*M96^2/100 + M96^3/49931000,360))</f>
        <v>201.298920337089</v>
      </c>
      <c r="AO96" s="27" t="n">
        <f aca="false"> AN96 + (1.9146 - 0.004817*M96 - 0.000014*M96^2)*SIN(R96)+ (0.019993 - 0.000101*M96)*SIN(2*R96)+ 0.00029*SIN(3*R96)</f>
        <v>199.398666063614</v>
      </c>
      <c r="AP96" s="18" t="n">
        <f aca="false">ACOS(COS(X96-$A$4*AO96)*COS(Y96))/$A$4</f>
        <v>145.212943607493</v>
      </c>
      <c r="AQ96" s="25" t="n">
        <f aca="false">180 - AP96 -0.1468*(1-0.0549*SIN(R96))*SIN($A$4*AP96)/(1-0.0167*SIN($A$4*AO96))</f>
        <v>34.699236289587</v>
      </c>
      <c r="AR96" s="25" t="n">
        <f aca="false">SIN($A$4*AI96)</f>
        <v>-0.863797774609164</v>
      </c>
      <c r="AS96" s="25" t="n">
        <f aca="false">COS($A$4*AI96)*SIN($A$4*$G$2) - TAN($A$4*AG96)*COS($A$4*$G$2)</f>
        <v>-0.13383334790431</v>
      </c>
      <c r="AT96" s="25" t="n">
        <f aca="false">IF(OR(AND(AR96*AS96&gt;0), AND(AR96&lt;0,AS96&gt;0)), MOD(ATAN2(AS96,AR96)/$A$4+360,360),  ATAN2(AS96,AR96)/$A$4)</f>
        <v>261.19284950874</v>
      </c>
      <c r="AU96" s="29" t="n">
        <f aca="false">(1+SIN($A$4*H96)*SIN($A$4*AJ96))*120*ASIN(0.272481*SIN($A$4*AJ96))/$A$4</f>
        <v>30.1828835057667</v>
      </c>
      <c r="AV96" s="10" t="n">
        <f aca="false">COS(X96)</f>
        <v>0.585330083949056</v>
      </c>
      <c r="AW96" s="10" t="n">
        <f aca="false">SIN(X96)</f>
        <v>0.810795099161429</v>
      </c>
      <c r="AX96" s="30" t="n">
        <f aca="false"> 385000.56 + (-20905355*COS(Q96) - 3699111*COS(2*S96-Q96) - 2955968*COS(2*S96) - 569925*COS(2*Q96) + (1-0.002516*M96)*48888*COS(R96) - 3149*COS(2*T96)  +246158*COS(2*S96-2*Q96) -(1-0.002516*M96)*152138*COS(2*S96-R96-Q96) -170733*COS(2*S96+Q96) -(1-0.002516*M96)*204586*COS(2*S96-R96) -(1-0.002516*M96)*129620*COS(R96-Q96)  + 108743*COS(S96) +(1-0.002516*M96)*104755*COS(R96+Q96) +10321*COS(2*S96-2*T96) +79661*COS(Q96-2*T96) -34782*COS(4*S96-Q96) -23210*COS(3*Q96)  -21636*COS(4*S96-2*Q96) +(1-0.002516*M96)*24208*COS(2*S96+R96-Q96) +(1-0.002516*M96)*30824*COS(2*S96+R96) -8379*COS(S96-Q96) -(1-0.002516*M96)*16675*COS(S96+R96)  -(1-0.002516*M96)*12831*COS(2*S96-R96+Q96) -10445*COS(2*S96+2*Q96) -11650*COS(4*S96) +14403*COS(2*S96-3*Q96) -(1-0.002516*M96)*7003*COS(R96-2*Q96)  + (1-0.002516*M96)*10056*COS(2*S96-R96-2*Q96) +6322*COS(S96+Q96) -(1-0.002516*M96)*(1-0.002516*M96)*9884*COS(2*S96-2*R96) +(1-0.002516*M96)*5751*COS(R96+2*Q96) -(1-0.002516*M96)*(1-0.002516*M96)*4950*COS(2*S96-2*R96-Q96)  +4130*COS(2*S96+Q96-2*T96) -(1-0.002516*M96)*3958*COS(4*S96-R96-Q96) +3258*COS(3*S96-Q96) +(1-0.002516*M96)*2616*COS(2*S96+R96+Q96) -(1-0.002516*M96)*1897*COS(4*S96-R96-2*Q96)  -(1-0.002516*M96)*(1-0.002516*M96)*2117*COS(2*R96-Q96) +(1-0.002516*M96)*(1-0.002516*M96)*2354*COS(2*S96+2*R96-Q96) -1423*COS(4*S96+Q96) -1117*COS(4*Q96) -(1-0.002516*M96)*1571*COS(4*S96-R96)  -1739*COS(S96-2*Q96) -4421*COS(2*Q96-2*T96) +(1-0.002516*M96)*(1-0.002516*M96)*1165*COS(2*R96+Q96) +8752*COS(2*S96-Q96-2*T96))/1000</f>
        <v>392102.511764699</v>
      </c>
      <c r="AY96" s="10" t="n">
        <f aca="false">AY95+1/8</f>
        <v>12.75</v>
      </c>
      <c r="AZ96" s="17" t="n">
        <f aca="false">AZ95+1</f>
        <v>95</v>
      </c>
      <c r="BA96" s="32" t="n">
        <f aca="false">ATAN(0.99664719*TAN($A$4*input!$E$2))</f>
        <v>-0.400219206115995</v>
      </c>
      <c r="BB96" s="32" t="n">
        <f aca="false">COS(BA96)</f>
        <v>0.920975608992155</v>
      </c>
      <c r="BC96" s="32" t="n">
        <f aca="false">0.99664719*SIN(BA96)</f>
        <v>-0.388313912533463</v>
      </c>
      <c r="BD96" s="32" t="n">
        <f aca="false">6378.14/AX96</f>
        <v>0.0162665114571557</v>
      </c>
      <c r="BE96" s="33" t="n">
        <f aca="false">MOD(N96-15*AH96,360)</f>
        <v>239.745709057697</v>
      </c>
      <c r="BF96" s="27" t="n">
        <f aca="false">COS($A$4*AG96)*SIN($A$4*BE96)</f>
        <v>-0.812928493980963</v>
      </c>
      <c r="BG96" s="27" t="n">
        <f aca="false">COS($A$4*AG96)*COS($A$4*BE96)-BB96*BD96</f>
        <v>-0.489148536296011</v>
      </c>
      <c r="BH96" s="27" t="n">
        <f aca="false">SIN($A$4*AG96)-BC96*BD96</f>
        <v>0.344417782117834</v>
      </c>
      <c r="BI96" s="46" t="n">
        <f aca="false">SQRT(BF96^2+BG96^2+BH96^2)</f>
        <v>1.00932781370854</v>
      </c>
      <c r="BJ96" s="35" t="n">
        <f aca="false">AX96*BI96</f>
        <v>395759.97094909</v>
      </c>
    </row>
    <row r="97" customFormat="false" ht="15" hidden="false" customHeight="false" outlineLevel="0" collapsed="false">
      <c r="A97" s="20"/>
      <c r="B97" s="20"/>
      <c r="C97" s="15" t="n">
        <f aca="false">MOD(C96+3,24)</f>
        <v>21</v>
      </c>
      <c r="D97" s="105" t="n">
        <v>12</v>
      </c>
      <c r="E97" s="102" t="n">
        <f aca="false">input!$C$2</f>
        <v>10</v>
      </c>
      <c r="F97" s="102" t="n">
        <f aca="false">input!$D$2</f>
        <v>2022</v>
      </c>
      <c r="G97" s="0"/>
      <c r="H97" s="39" t="n">
        <f aca="false">AM97</f>
        <v>2.67973098925967</v>
      </c>
      <c r="I97" s="48" t="n">
        <f aca="false">H97+1.02/(TAN($A$4*(H97+10.3/(H97+5.11)))*60)</f>
        <v>2.92272136246624</v>
      </c>
      <c r="J97" s="39" t="n">
        <f aca="false">100*(1+COS($A$4*AQ97))/2</f>
        <v>90.3746181636826</v>
      </c>
      <c r="K97" s="48" t="n">
        <f aca="false">IF(AI97&gt;180,AT97-180,AT97+180)</f>
        <v>66.1672015285636</v>
      </c>
      <c r="L97" s="10" t="n">
        <f aca="false">L96+1/8</f>
        <v>2459865.375</v>
      </c>
      <c r="M97" s="49" t="n">
        <f aca="false">(L97-2451545)/36525</f>
        <v>0.227799452429843</v>
      </c>
      <c r="N97" s="15" t="n">
        <f aca="false">MOD(280.46061837+360.98564736629*(L97-2451545)+0.000387933*M97^2-M97^3/38710000+$G$4,360)</f>
        <v>336.416343795601</v>
      </c>
      <c r="O97" s="18" t="n">
        <f aca="false">0.60643382+1336.85522467*M97 - 0.00000313*M97^2 - INT(0.60643382+1336.85522467*M97 - 0.00000313*M97^2)</f>
        <v>0.141321815376386</v>
      </c>
      <c r="P97" s="15" t="n">
        <f aca="false">22640*SIN(Q97)-4586*SIN(Q97-2*S97)+2370*SIN(2*S97)+769*SIN(2*Q97)-668*SIN(R97)-412*SIN(2*T97)-212*SIN(2*Q97-2*S97)-206*SIN(Q97+R97-2*S97)+192*SIN(Q97+2*S97)-165*SIN(R97-2*S97)-125*SIN(S97)-110*SIN(Q97+R97)+148*SIN(Q97-R97)-55*SIN(2*T97-2*S97)</f>
        <v>17535.2676615614</v>
      </c>
      <c r="Q97" s="18" t="n">
        <f aca="false">2*PI()*(0.374897+1325.55241*M97 - INT(0.374897+1325.55241*M97))</f>
        <v>2.104930946849</v>
      </c>
      <c r="R97" s="26" t="n">
        <f aca="false">2*PI()*(0.99312619+99.99735956*M97 - 0.00000044*M97^2 - INT(0.99312619+99.99735956*M97- 0.00000044*M97^2))</f>
        <v>4.85357164759454</v>
      </c>
      <c r="S97" s="26" t="n">
        <f aca="false">2*PI()*(0.827361+1236.853086*M97 - INT(0.827361+1236.853086*M97))</f>
        <v>3.65566231031264</v>
      </c>
      <c r="T97" s="26" t="n">
        <f aca="false">2*PI()*(0.259086+1342.227825*M97 - INT(0.259086+1342.227825*M97))</f>
        <v>0.112152162865966</v>
      </c>
      <c r="U97" s="26" t="n">
        <f aca="false">T97+(P97+412*SIN(2*T97)+541*SIN(R97))/206264.8062</f>
        <v>0.195013079304566</v>
      </c>
      <c r="V97" s="26" t="n">
        <f aca="false">T97-2*S97</f>
        <v>-7.19917245775931</v>
      </c>
      <c r="W97" s="25" t="n">
        <f aca="false">-526*SIN(V97)+44*SIN(Q97+V97)-31*SIN(-Q97+V97)-23*SIN(R97+V97)+11*SIN(-R97+V97)-25*SIN(-2*Q97+T97)+21*SIN(-Q97+T97)</f>
        <v>444.024867538804</v>
      </c>
      <c r="X97" s="26" t="n">
        <f aca="false">2*PI()*(O97+P97/1296000-INT(O97+P97/1296000))</f>
        <v>0.972964530599283</v>
      </c>
      <c r="Y97" s="26" t="n">
        <f aca="false">(18520*SIN(U97)+W97)/206264.8062</f>
        <v>0.019551656954737</v>
      </c>
      <c r="Z97" s="26" t="n">
        <f aca="false">Y97*180/PI()</f>
        <v>1.12022742599404</v>
      </c>
      <c r="AA97" s="26" t="n">
        <f aca="false">COS(Y97)*COS(X97)</f>
        <v>0.56274407529424</v>
      </c>
      <c r="AB97" s="26" t="n">
        <f aca="false">COS(Y97)*SIN(X97)</f>
        <v>0.826399955916322</v>
      </c>
      <c r="AC97" s="26" t="n">
        <f aca="false">SIN(Y97)</f>
        <v>0.0195504113187268</v>
      </c>
      <c r="AD97" s="26" t="n">
        <f aca="false">COS($A$4*(23.4393-46.815*M97/3600))*AB97-SIN($A$4*(23.4393-46.815*M97/3600))*AC97</f>
        <v>0.750448297098454</v>
      </c>
      <c r="AE97" s="26" t="n">
        <f aca="false">SIN($A$4*(23.4393-46.815*M97/3600))*AB97+COS($A$4*(23.4393-46.815*M97/3600))*AC97</f>
        <v>0.346621492558181</v>
      </c>
      <c r="AF97" s="26" t="n">
        <f aca="false">SQRT(1-AE97*AE97)</f>
        <v>0.938005085752065</v>
      </c>
      <c r="AG97" s="10" t="n">
        <f aca="false">ATAN(AE97/AF97)/$A$4</f>
        <v>20.2808091658739</v>
      </c>
      <c r="AH97" s="26" t="n">
        <f aca="false">IF(24*ATAN(AD97/(AA97+AF97))/PI()&gt;0,24*ATAN(AD97/(AA97+AF97))/PI(),24*ATAN(AD97/(AA97+AF97))/PI()+24)</f>
        <v>3.54230701612886</v>
      </c>
      <c r="AI97" s="10" t="n">
        <f aca="false">IF(N97-15*AH97&gt;0,N97-15*AH97,360+N97-15*AH97)</f>
        <v>283.281738553668</v>
      </c>
      <c r="AJ97" s="18" t="n">
        <f aca="false">0.950724+0.051818*COS(Q97)+0.009531*COS(2*S97-Q97)+0.007843*COS(2*S97)+0.002824*COS(2*Q97)+0.000857*COS(2*S97+Q97)+0.000533*COS(2*S97-R97)+0.000401*COS(2*S97-R97-Q97)+0.00032*COS(Q97-R97)-0.000271*COS(S97)</f>
        <v>0.930599428556917</v>
      </c>
      <c r="AK97" s="50" t="n">
        <f aca="false">ASIN(COS($A$4*$G$2)*COS($A$4*AG97)*COS($A$4*AI97)+SIN($A$4*$G$2)*SIN($A$4*AG97))/$A$4</f>
        <v>3.60801355226581</v>
      </c>
      <c r="AL97" s="18" t="n">
        <f aca="false">ASIN((0.9983271+0.0016764*COS($A$4*2*$G$2))*COS($A$4*AK97)*SIN($A$4*AJ97))/$A$4</f>
        <v>0.928282563006139</v>
      </c>
      <c r="AM97" s="18" t="n">
        <f aca="false">AK97-AL97</f>
        <v>2.67973098925967</v>
      </c>
      <c r="AN97" s="10" t="n">
        <f aca="false"> IF(280.4664567 + 360007.6982779*M97/10 + 0.03032028*M97^2/100 + M97^3/49931000&lt;0,MOD(280.4664567 + 360007.6982779*M97/10 + 0.03032028*M97^2/100 + M97^3/49931000+360,360),MOD(280.4664567 + 360007.6982779*M97/10 + 0.03032028*M97^2/100 + M97^3/49931000,360))</f>
        <v>201.422126257574</v>
      </c>
      <c r="AO97" s="27" t="n">
        <f aca="false"> AN97 + (1.9146 - 0.004817*M97 - 0.000014*M97^2)*SIN(R97)+ (0.019993 - 0.000101*M97)*SIN(2*R97)+ 0.00029*SIN(3*R97)</f>
        <v>199.522363294386</v>
      </c>
      <c r="AP97" s="18" t="n">
        <f aca="false">ACOS(COS(X97-$A$4*AO97)*COS(Y97))/$A$4</f>
        <v>143.760655722912</v>
      </c>
      <c r="AQ97" s="25" t="n">
        <f aca="false">180 - AP97 -0.1468*(1-0.0549*SIN(R97))*SIN($A$4*AP97)/(1-0.0167*SIN($A$4*AO97))</f>
        <v>36.1483528957213</v>
      </c>
      <c r="AR97" s="25" t="n">
        <f aca="false">SIN($A$4*AI97)</f>
        <v>-0.973252145342399</v>
      </c>
      <c r="AS97" s="25" t="n">
        <f aca="false">COS($A$4*AI97)*SIN($A$4*$G$2) - TAN($A$4*AG97)*COS($A$4*$G$2)</f>
        <v>-0.429921017157482</v>
      </c>
      <c r="AT97" s="25" t="n">
        <f aca="false">IF(OR(AND(AR97*AS97&gt;0), AND(AR97&lt;0,AS97&gt;0)), MOD(ATAN2(AS97,AR97)/$A$4+360,360),  ATAN2(AS97,AR97)/$A$4)</f>
        <v>246.167201528564</v>
      </c>
      <c r="AU97" s="29" t="n">
        <f aca="false">(1+SIN($A$4*H97)*SIN($A$4*AJ97))*120*ASIN(0.272481*SIN($A$4*AJ97))/$A$4</f>
        <v>30.4503453821675</v>
      </c>
      <c r="AV97" s="10" t="n">
        <f aca="false">COS(X97)</f>
        <v>0.562851651754964</v>
      </c>
      <c r="AW97" s="10" t="n">
        <f aca="false">SIN(X97)</f>
        <v>0.82655793391432</v>
      </c>
      <c r="AX97" s="30" t="n">
        <f aca="false"> 385000.56 + (-20905355*COS(Q97) - 3699111*COS(2*S97-Q97) - 2955968*COS(2*S97) - 569925*COS(2*Q97) + (1-0.002516*M97)*48888*COS(R97) - 3149*COS(2*T97)  +246158*COS(2*S97-2*Q97) -(1-0.002516*M97)*152138*COS(2*S97-R97-Q97) -170733*COS(2*S97+Q97) -(1-0.002516*M97)*204586*COS(2*S97-R97) -(1-0.002516*M97)*129620*COS(R97-Q97)  + 108743*COS(S97) +(1-0.002516*M97)*104755*COS(R97+Q97) +10321*COS(2*S97-2*T97) +79661*COS(Q97-2*T97) -34782*COS(4*S97-Q97) -23210*COS(3*Q97)  -21636*COS(4*S97-2*Q97) +(1-0.002516*M97)*24208*COS(2*S97+R97-Q97) +(1-0.002516*M97)*30824*COS(2*S97+R97) -8379*COS(S97-Q97) -(1-0.002516*M97)*16675*COS(S97+R97)  -(1-0.002516*M97)*12831*COS(2*S97-R97+Q97) -10445*COS(2*S97+2*Q97) -11650*COS(4*S97) +14403*COS(2*S97-3*Q97) -(1-0.002516*M97)*7003*COS(R97-2*Q97)  + (1-0.002516*M97)*10056*COS(2*S97-R97-2*Q97) +6322*COS(S97+Q97) -(1-0.002516*M97)*(1-0.002516*M97)*9884*COS(2*S97-2*R97) +(1-0.002516*M97)*5751*COS(R97+2*Q97) -(1-0.002516*M97)*(1-0.002516*M97)*4950*COS(2*S97-2*R97-Q97)  +4130*COS(2*S97+Q97-2*T97) -(1-0.002516*M97)*3958*COS(4*S97-R97-Q97) +3258*COS(3*S97-Q97) +(1-0.002516*M97)*2616*COS(2*S97+R97+Q97) -(1-0.002516*M97)*1897*COS(4*S97-R97-2*Q97)  -(1-0.002516*M97)*(1-0.002516*M97)*2117*COS(2*R97-Q97) +(1-0.002516*M97)*(1-0.002516*M97)*2354*COS(2*S97+2*R97-Q97) -1423*COS(4*S97+Q97) -1117*COS(4*Q97) -(1-0.002516*M97)*1571*COS(4*S97-R97)  -1739*COS(S97-2*Q97) -4421*COS(2*Q97-2*T97) +(1-0.002516*M97)*(1-0.002516*M97)*1165*COS(2*R97+Q97) +8752*COS(2*S97-Q97-2*T97))/1000</f>
        <v>392651.151376423</v>
      </c>
      <c r="AY97" s="10" t="n">
        <f aca="false">AY96+1/8</f>
        <v>12.875</v>
      </c>
      <c r="AZ97" s="17" t="n">
        <f aca="false">AZ96+1</f>
        <v>96</v>
      </c>
      <c r="BA97" s="32" t="n">
        <f aca="false">ATAN(0.99664719*TAN($A$4*input!$E$2))</f>
        <v>-0.400219206115995</v>
      </c>
      <c r="BB97" s="32" t="n">
        <f aca="false">COS(BA97)</f>
        <v>0.920975608992155</v>
      </c>
      <c r="BC97" s="32" t="n">
        <f aca="false">0.99664719*SIN(BA97)</f>
        <v>-0.388313912533463</v>
      </c>
      <c r="BD97" s="32" t="n">
        <f aca="false">6378.14/AX97</f>
        <v>0.0162437827512837</v>
      </c>
      <c r="BE97" s="33" t="n">
        <f aca="false">MOD(N97-15*AH97,360)</f>
        <v>283.281738553668</v>
      </c>
      <c r="BF97" s="27" t="n">
        <f aca="false">COS($A$4*AG97)*SIN($A$4*BE97)</f>
        <v>-0.912915462050278</v>
      </c>
      <c r="BG97" s="27" t="n">
        <f aca="false">COS($A$4*AG97)*COS($A$4*BE97)-BB97*BD97</f>
        <v>0.200536740122305</v>
      </c>
      <c r="BH97" s="27" t="n">
        <f aca="false">SIN($A$4*AG97)-BC97*BD97</f>
        <v>0.352929179392675</v>
      </c>
      <c r="BI97" s="46" t="n">
        <f aca="false">SQRT(BF97^2+BG97^2+BH97^2)</f>
        <v>0.999093904823836</v>
      </c>
      <c r="BJ97" s="35" t="n">
        <f aca="false">AX97*BI97</f>
        <v>392295.372062245</v>
      </c>
    </row>
    <row r="98" customFormat="false" ht="15" hidden="false" customHeight="false" outlineLevel="0" collapsed="false">
      <c r="A98" s="20"/>
      <c r="B98" s="20"/>
      <c r="C98" s="15" t="n">
        <f aca="false">MOD(C97+3,24)</f>
        <v>0</v>
      </c>
      <c r="D98" s="36" t="n">
        <v>13</v>
      </c>
      <c r="E98" s="102" t="n">
        <f aca="false">input!$C$2</f>
        <v>10</v>
      </c>
      <c r="F98" s="102" t="n">
        <f aca="false">input!$D$2</f>
        <v>2022</v>
      </c>
      <c r="G98" s="0"/>
      <c r="H98" s="39" t="n">
        <f aca="false">AM98</f>
        <v>34.8052493799149</v>
      </c>
      <c r="I98" s="48" t="n">
        <f aca="false">H98+1.02/(TAN($A$4*(H98+10.3/(H98+5.11)))*60)</f>
        <v>34.8294709010892</v>
      </c>
      <c r="J98" s="39" t="n">
        <f aca="false">100*(1+COS($A$4*AQ98))/2</f>
        <v>89.6182411103116</v>
      </c>
      <c r="K98" s="48" t="n">
        <f aca="false">IF(AI98&gt;180,AT98-180,AT98+180)</f>
        <v>38.9829037657745</v>
      </c>
      <c r="L98" s="10" t="n">
        <f aca="false">L97+1/8</f>
        <v>2459865.5</v>
      </c>
      <c r="M98" s="49" t="n">
        <f aca="false">(L98-2451545)/36525</f>
        <v>0.227802874743327</v>
      </c>
      <c r="N98" s="15" t="n">
        <f aca="false">MOD(280.46061837+360.98564736629*(L98-2451545)+0.000387933*M98^2-M98^3/38710000+$G$4,360)</f>
        <v>21.539549717214</v>
      </c>
      <c r="O98" s="18" t="n">
        <f aca="false">0.60643382+1336.85522467*M98 - 0.00000313*M98^2 - INT(0.60643382+1336.85522467*M98 - 0.00000313*M98^2)</f>
        <v>0.145896953032945</v>
      </c>
      <c r="P98" s="15" t="n">
        <f aca="false">22640*SIN(Q98)-4586*SIN(Q98-2*S98)+2370*SIN(2*S98)+769*SIN(2*Q98)-668*SIN(R98)-412*SIN(2*T98)-212*SIN(2*Q98-2*S98)-206*SIN(Q98+R98-2*S98)+192*SIN(Q98+2*S98)-165*SIN(R98-2*S98)-125*SIN(S98)-110*SIN(Q98+R98)+148*SIN(Q98-R98)-55*SIN(2*T98-2*S98)</f>
        <v>17252.0762235354</v>
      </c>
      <c r="Q98" s="18" t="n">
        <f aca="false">2*PI()*(0.374897+1325.55241*M98 - INT(0.374897+1325.55241*M98))</f>
        <v>2.13343433982116</v>
      </c>
      <c r="R98" s="26" t="n">
        <f aca="false">2*PI()*(0.99312619+99.99735956*M98 - 0.00000044*M98^2 - INT(0.99312619+99.99735956*M98- 0.00000044*M98^2))</f>
        <v>4.85572189379264</v>
      </c>
      <c r="S98" s="26" t="n">
        <f aca="false">2*PI()*(0.827361+1236.853086*M98 - INT(0.827361+1236.853086*M98))</f>
        <v>3.68225839907756</v>
      </c>
      <c r="T98" s="26" t="n">
        <f aca="false">2*PI()*(0.259086+1342.227825*M98 - INT(0.259086+1342.227825*M98))</f>
        <v>0.141014127783725</v>
      </c>
      <c r="U98" s="26" t="n">
        <f aca="false">T98+(P98+412*SIN(2*T98)+541*SIN(R98))/206264.8062</f>
        <v>0.222614501864579</v>
      </c>
      <c r="V98" s="26" t="n">
        <f aca="false">T98-2*S98</f>
        <v>-7.2235026703714</v>
      </c>
      <c r="W98" s="25" t="n">
        <f aca="false">-526*SIN(V98)+44*SIN(Q98+V98)-31*SIN(-Q98+V98)-23*SIN(R98+V98)+11*SIN(-R98+V98)-25*SIN(-2*Q98+T98)+21*SIN(-Q98+T98)</f>
        <v>449.115026968817</v>
      </c>
      <c r="X98" s="26" t="n">
        <f aca="false">2*PI()*(O98+P98/1296000-INT(O98+P98/1296000))</f>
        <v>1.00033801746602</v>
      </c>
      <c r="Y98" s="26" t="n">
        <f aca="false">(18520*SIN(U98)+W98)/206264.8062</f>
        <v>0.0220006862921474</v>
      </c>
      <c r="Z98" s="26" t="n">
        <f aca="false">Y98*180/PI()</f>
        <v>1.26054647093137</v>
      </c>
      <c r="AA98" s="26" t="n">
        <f aca="false">COS(Y98)*COS(X98)</f>
        <v>0.539887155917131</v>
      </c>
      <c r="AB98" s="26" t="n">
        <f aca="false">COS(Y98)*SIN(X98)</f>
        <v>0.841449883693868</v>
      </c>
      <c r="AC98" s="26" t="n">
        <f aca="false">SIN(Y98)</f>
        <v>0.021998911502346</v>
      </c>
      <c r="AD98" s="26" t="n">
        <f aca="false">COS($A$4*(23.4393-46.815*M98/3600))*AB98-SIN($A$4*(23.4393-46.815*M98/3600))*AC98</f>
        <v>0.76328280307803</v>
      </c>
      <c r="AE98" s="26" t="n">
        <f aca="false">SIN($A$4*(23.4393-46.815*M98/3600))*AB98+COS($A$4*(23.4393-46.815*M98/3600))*AC98</f>
        <v>0.354853802855567</v>
      </c>
      <c r="AF98" s="26" t="n">
        <f aca="false">SQRT(1-AE98*AE98)</f>
        <v>0.934921803467511</v>
      </c>
      <c r="AG98" s="10" t="n">
        <f aca="false">ATAN(AE98/AF98)/$A$4</f>
        <v>20.7844845638534</v>
      </c>
      <c r="AH98" s="26" t="n">
        <f aca="false">IF(24*ATAN(AD98/(AA98+AF98))/PI()&gt;0,24*ATAN(AD98/(AA98+AF98))/PI(),24*ATAN(AD98/(AA98+AF98))/PI()+24)</f>
        <v>3.64849123531566</v>
      </c>
      <c r="AI98" s="10" t="n">
        <f aca="false">IF(N98-15*AH98&gt;0,N98-15*AH98,360+N98-15*AH98)</f>
        <v>326.812181187479</v>
      </c>
      <c r="AJ98" s="18" t="n">
        <f aca="false">0.950724+0.051818*COS(Q98)+0.009531*COS(2*S98-Q98)+0.007843*COS(2*S98)+0.002824*COS(2*Q98)+0.000857*COS(2*S98+Q98)+0.000533*COS(2*S98-R98)+0.000401*COS(2*S98-R98-Q98)+0.00032*COS(Q98-R98)-0.000271*COS(S98)</f>
        <v>0.929307345106803</v>
      </c>
      <c r="AK98" s="50" t="n">
        <f aca="false">ASIN(COS($A$4*$G$2)*COS($A$4*AG98)*COS($A$4*AI98)+SIN($A$4*$G$2)*SIN($A$4*AG98))/$A$4</f>
        <v>35.5608438602303</v>
      </c>
      <c r="AL98" s="18" t="n">
        <f aca="false">ASIN((0.9983271+0.0016764*COS($A$4*2*$G$2))*COS($A$4*AK98)*SIN($A$4*AJ98))/$A$4</f>
        <v>0.7555944803154</v>
      </c>
      <c r="AM98" s="18" t="n">
        <f aca="false">AK98-AL98</f>
        <v>34.8052493799149</v>
      </c>
      <c r="AN98" s="10" t="n">
        <f aca="false"> IF(280.4664567 + 360007.6982779*M98/10 + 0.03032028*M98^2/100 + M98^3/49931000&lt;0,MOD(280.4664567 + 360007.6982779*M98/10 + 0.03032028*M98^2/100 + M98^3/49931000+360,360),MOD(280.4664567 + 360007.6982779*M98/10 + 0.03032028*M98^2/100 + M98^3/49931000,360))</f>
        <v>201.545332178061</v>
      </c>
      <c r="AO98" s="27" t="n">
        <f aca="false"> AN98 + (1.9146 - 0.004817*M98 - 0.000014*M98^2)*SIN(R98)+ (0.019993 - 0.000101*M98)*SIN(2*R98)+ 0.00029*SIN(3*R98)</f>
        <v>199.646069376216</v>
      </c>
      <c r="AP98" s="18" t="n">
        <f aca="false">ACOS(COS(X98-$A$4*AO98)*COS(Y98))/$A$4</f>
        <v>142.312966150138</v>
      </c>
      <c r="AQ98" s="25" t="n">
        <f aca="false">180 - AP98 -0.1468*(1-0.0549*SIN(R98))*SIN($A$4*AP98)/(1-0.0167*SIN($A$4*AO98))</f>
        <v>37.5929397530565</v>
      </c>
      <c r="AR98" s="25" t="n">
        <f aca="false">SIN($A$4*AI98)</f>
        <v>-0.54738531349618</v>
      </c>
      <c r="AS98" s="25" t="n">
        <f aca="false">COS($A$4*AI98)*SIN($A$4*$G$2) - TAN($A$4*AG98)*COS($A$4*$G$2)</f>
        <v>-0.67637712746086</v>
      </c>
      <c r="AT98" s="25" t="n">
        <f aca="false">IF(OR(AND(AR98*AS98&gt;0), AND(AR98&lt;0,AS98&gt;0)), MOD(ATAN2(AS98,AR98)/$A$4+360,360),  ATAN2(AS98,AR98)/$A$4)</f>
        <v>218.982903765775</v>
      </c>
      <c r="AU98" s="29" t="n">
        <f aca="false">(1+SIN($A$4*H98)*SIN($A$4*AJ98))*120*ASIN(0.272481*SIN($A$4*AJ98))/$A$4</f>
        <v>30.666286736622</v>
      </c>
      <c r="AV98" s="10" t="n">
        <f aca="false">COS(X98)</f>
        <v>0.540017843117206</v>
      </c>
      <c r="AW98" s="10" t="n">
        <f aca="false">SIN(X98)</f>
        <v>0.841653568349259</v>
      </c>
      <c r="AX98" s="30" t="n">
        <f aca="false"> 385000.56 + (-20905355*COS(Q98) - 3699111*COS(2*S98-Q98) - 2955968*COS(2*S98) - 569925*COS(2*Q98) + (1-0.002516*M98)*48888*COS(R98) - 3149*COS(2*T98)  +246158*COS(2*S98-2*Q98) -(1-0.002516*M98)*152138*COS(2*S98-R98-Q98) -170733*COS(2*S98+Q98) -(1-0.002516*M98)*204586*COS(2*S98-R98) -(1-0.002516*M98)*129620*COS(R98-Q98)  + 108743*COS(S98) +(1-0.002516*M98)*104755*COS(R98+Q98) +10321*COS(2*S98-2*T98) +79661*COS(Q98-2*T98) -34782*COS(4*S98-Q98) -23210*COS(3*Q98)  -21636*COS(4*S98-2*Q98) +(1-0.002516*M98)*24208*COS(2*S98+R98-Q98) +(1-0.002516*M98)*30824*COS(2*S98+R98) -8379*COS(S98-Q98) -(1-0.002516*M98)*16675*COS(S98+R98)  -(1-0.002516*M98)*12831*COS(2*S98-R98+Q98) -10445*COS(2*S98+2*Q98) -11650*COS(4*S98) +14403*COS(2*S98-3*Q98) -(1-0.002516*M98)*7003*COS(R98-2*Q98)  + (1-0.002516*M98)*10056*COS(2*S98-R98-2*Q98) +6322*COS(S98+Q98) -(1-0.002516*M98)*(1-0.002516*M98)*9884*COS(2*S98-2*R98) +(1-0.002516*M98)*5751*COS(R98+2*Q98) -(1-0.002516*M98)*(1-0.002516*M98)*4950*COS(2*S98-2*R98-Q98)  +4130*COS(2*S98+Q98-2*T98) -(1-0.002516*M98)*3958*COS(4*S98-R98-Q98) +3258*COS(3*S98-Q98) +(1-0.002516*M98)*2616*COS(2*S98+R98+Q98) -(1-0.002516*M98)*1897*COS(4*S98-R98-2*Q98)  -(1-0.002516*M98)*(1-0.002516*M98)*2117*COS(2*R98-Q98) +(1-0.002516*M98)*(1-0.002516*M98)*2354*COS(2*S98+2*R98-Q98) -1423*COS(4*S98+Q98) -1117*COS(4*Q98) -(1-0.002516*M98)*1571*COS(4*S98-R98)  -1739*COS(S98-2*Q98) -4421*COS(2*Q98-2*T98) +(1-0.002516*M98)*(1-0.002516*M98)*1165*COS(2*R98+Q98) +8752*COS(2*S98-Q98-2*T98))/1000</f>
        <v>393194.337204595</v>
      </c>
      <c r="AY98" s="10" t="n">
        <f aca="false">AY97+1/8</f>
        <v>13</v>
      </c>
      <c r="AZ98" s="17" t="n">
        <f aca="false">AZ97+1</f>
        <v>97</v>
      </c>
      <c r="BA98" s="32" t="n">
        <f aca="false">ATAN(0.99664719*TAN($A$4*input!$E$2))</f>
        <v>-0.400219206115995</v>
      </c>
      <c r="BB98" s="32" t="n">
        <f aca="false">COS(BA98)</f>
        <v>0.920975608992155</v>
      </c>
      <c r="BC98" s="32" t="n">
        <f aca="false">0.99664719*SIN(BA98)</f>
        <v>-0.388313912533463</v>
      </c>
      <c r="BD98" s="32" t="n">
        <f aca="false">6378.14/AX98</f>
        <v>0.0162213424673031</v>
      </c>
      <c r="BE98" s="33" t="n">
        <f aca="false">MOD(N98-15*AH98,360)</f>
        <v>326.812181187479</v>
      </c>
      <c r="BF98" s="27" t="n">
        <f aca="false">COS($A$4*AG98)*SIN($A$4*BE98)</f>
        <v>-0.511762464485477</v>
      </c>
      <c r="BG98" s="27" t="n">
        <f aca="false">COS($A$4*AG98)*COS($A$4*BE98)-BB98*BD98</f>
        <v>0.767478559576069</v>
      </c>
      <c r="BH98" s="27" t="n">
        <f aca="false">SIN($A$4*AG98)-BC98*BD98</f>
        <v>0.36115277581559</v>
      </c>
      <c r="BI98" s="46" t="n">
        <f aca="false">SQRT(BF98^2+BG98^2+BH98^2)</f>
        <v>0.990633881383285</v>
      </c>
      <c r="BJ98" s="35" t="n">
        <f aca="false">AX98*BI98</f>
        <v>389511.632402916</v>
      </c>
    </row>
    <row r="99" customFormat="false" ht="15" hidden="false" customHeight="false" outlineLevel="0" collapsed="false">
      <c r="A99" s="20"/>
      <c r="B99" s="20"/>
      <c r="C99" s="15" t="n">
        <f aca="false">MOD(C98+3,24)</f>
        <v>3</v>
      </c>
      <c r="D99" s="17" t="n">
        <v>13</v>
      </c>
      <c r="E99" s="102" t="n">
        <f aca="false">input!$C$2</f>
        <v>10</v>
      </c>
      <c r="F99" s="102" t="n">
        <f aca="false">input!$D$2</f>
        <v>2022</v>
      </c>
      <c r="G99" s="0"/>
      <c r="H99" s="39" t="n">
        <f aca="false">AM99</f>
        <v>43.9362470019607</v>
      </c>
      <c r="I99" s="48" t="n">
        <f aca="false">H99+1.02/(TAN($A$4*(H99+10.3/(H99+5.11)))*60)</f>
        <v>43.9537613275791</v>
      </c>
      <c r="J99" s="39" t="n">
        <f aca="false">100*(1+COS($A$4*AQ99))/2</f>
        <v>88.8391448385289</v>
      </c>
      <c r="K99" s="48" t="n">
        <f aca="false">IF(AI99&gt;180,AT99-180,AT99+180)</f>
        <v>346.41856941111</v>
      </c>
      <c r="L99" s="10" t="n">
        <f aca="false">L98+1/8</f>
        <v>2459865.625</v>
      </c>
      <c r="M99" s="49" t="n">
        <f aca="false">(L99-2451545)/36525</f>
        <v>0.22780629705681</v>
      </c>
      <c r="N99" s="15" t="n">
        <f aca="false">MOD(280.46061837+360.98564736629*(L99-2451545)+0.000387933*M99^2-M99^3/38710000+$G$4,360)</f>
        <v>66.662755638361</v>
      </c>
      <c r="O99" s="18" t="n">
        <f aca="false">0.60643382+1336.85522467*M99 - 0.00000313*M99^2 - INT(0.60643382+1336.85522467*M99 - 0.00000313*M99^2)</f>
        <v>0.150472090689448</v>
      </c>
      <c r="P99" s="15" t="n">
        <f aca="false">22640*SIN(Q99)-4586*SIN(Q99-2*S99)+2370*SIN(2*S99)+769*SIN(2*Q99)-668*SIN(R99)-412*SIN(2*T99)-212*SIN(2*Q99-2*S99)-206*SIN(Q99+R99-2*S99)+192*SIN(Q99+2*S99)-165*SIN(R99-2*S99)-125*SIN(S99)-110*SIN(Q99+R99)+148*SIN(Q99-R99)-55*SIN(2*T99-2*S99)</f>
        <v>16952.335036797</v>
      </c>
      <c r="Q99" s="18" t="n">
        <f aca="false">2*PI()*(0.374897+1325.55241*M99 - INT(0.374897+1325.55241*M99))</f>
        <v>2.16193773279331</v>
      </c>
      <c r="R99" s="26" t="n">
        <f aca="false">2*PI()*(0.99312619+99.99735956*M99 - 0.00000044*M99^2 - INT(0.99312619+99.99735956*M99- 0.00000044*M99^2))</f>
        <v>4.85787213999075</v>
      </c>
      <c r="S99" s="26" t="n">
        <f aca="false">2*PI()*(0.827361+1236.853086*M99 - INT(0.827361+1236.853086*M99))</f>
        <v>3.70885448784248</v>
      </c>
      <c r="T99" s="26" t="n">
        <f aca="false">2*PI()*(0.259086+1342.227825*M99 - INT(0.259086+1342.227825*M99))</f>
        <v>0.169876092701128</v>
      </c>
      <c r="U99" s="26" t="n">
        <f aca="false">T99+(P99+412*SIN(2*T99)+541*SIN(R99))/206264.8062</f>
        <v>0.250133849226926</v>
      </c>
      <c r="V99" s="26" t="n">
        <f aca="false">T99-2*S99</f>
        <v>-7.24783288298384</v>
      </c>
      <c r="W99" s="25" t="n">
        <f aca="false">-526*SIN(V99)+44*SIN(Q99+V99)-31*SIN(-Q99+V99)-23*SIN(R99+V99)+11*SIN(-R99+V99)-25*SIN(-2*Q99+T99)+21*SIN(-Q99+T99)</f>
        <v>453.95209090572</v>
      </c>
      <c r="X99" s="26" t="n">
        <f aca="false">2*PI()*(O99+P99/1296000-INT(O99+P99/1296000))</f>
        <v>1.02763126888645</v>
      </c>
      <c r="Y99" s="26" t="n">
        <f aca="false">(18520*SIN(U99)+W99)/206264.8062</f>
        <v>0.0244262474686586</v>
      </c>
      <c r="Z99" s="26" t="n">
        <f aca="false">Y99*180/PI()</f>
        <v>1.39952088929625</v>
      </c>
      <c r="AA99" s="26" t="n">
        <f aca="false">COS(Y99)*COS(X99)</f>
        <v>0.516693930699157</v>
      </c>
      <c r="AB99" s="26" t="n">
        <f aca="false">COS(Y99)*SIN(X99)</f>
        <v>0.855821744911989</v>
      </c>
      <c r="AC99" s="26" t="n">
        <f aca="false">SIN(Y99)</f>
        <v>0.0244238185886972</v>
      </c>
      <c r="AD99" s="26" t="n">
        <f aca="false">COS($A$4*(23.4393-46.815*M99/3600))*AB99-SIN($A$4*(23.4393-46.815*M99/3600))*AC99</f>
        <v>0.775504564941561</v>
      </c>
      <c r="AE99" s="26" t="n">
        <f aca="false">SIN($A$4*(23.4393-46.815*M99/3600))*AB99+COS($A$4*(23.4393-46.815*M99/3600))*AC99</f>
        <v>0.362794779087923</v>
      </c>
      <c r="AF99" s="26" t="n">
        <f aca="false">SQRT(1-AE99*AE99)</f>
        <v>0.931869061760581</v>
      </c>
      <c r="AG99" s="10" t="n">
        <f aca="false">ATAN(AE99/AF99)/$A$4</f>
        <v>21.2719325019501</v>
      </c>
      <c r="AH99" s="26" t="n">
        <f aca="false">IF(24*ATAN(AD99/(AA99+AF99))/PI()&gt;0,24*ATAN(AD99/(AA99+AF99))/PI(),24*ATAN(AD99/(AA99+AF99))/PI()+24)</f>
        <v>3.75504974621868</v>
      </c>
      <c r="AI99" s="10" t="n">
        <f aca="false">IF(N99-15*AH99&gt;0,N99-15*AH99,360+N99-15*AH99)</f>
        <v>10.3370094450807</v>
      </c>
      <c r="AJ99" s="18" t="n">
        <f aca="false">0.950724+0.051818*COS(Q99)+0.009531*COS(2*S99-Q99)+0.007843*COS(2*S99)+0.002824*COS(2*Q99)+0.000857*COS(2*S99+Q99)+0.000533*COS(2*S99-R99)+0.000401*COS(2*S99-R99-Q99)+0.00032*COS(Q99-R99)-0.000271*COS(S99)</f>
        <v>0.928035029649153</v>
      </c>
      <c r="AK99" s="50" t="n">
        <f aca="false">ASIN(COS($A$4*$G$2)*COS($A$4*AG99)*COS($A$4*AI99)+SIN($A$4*$G$2)*SIN($A$4*AG99))/$A$4</f>
        <v>44.5967192280141</v>
      </c>
      <c r="AL99" s="18" t="n">
        <f aca="false">ASIN((0.9983271+0.0016764*COS($A$4*2*$G$2))*COS($A$4*AK99)*SIN($A$4*AJ99))/$A$4</f>
        <v>0.660472226053437</v>
      </c>
      <c r="AM99" s="18" t="n">
        <f aca="false">AK99-AL99</f>
        <v>43.9362470019607</v>
      </c>
      <c r="AN99" s="10" t="n">
        <f aca="false"> IF(280.4664567 + 360007.6982779*M99/10 + 0.03032028*M99^2/100 + M99^3/49931000&lt;0,MOD(280.4664567 + 360007.6982779*M99/10 + 0.03032028*M99^2/100 + M99^3/49931000+360,360),MOD(280.4664567 + 360007.6982779*M99/10 + 0.03032028*M99^2/100 + M99^3/49931000,360))</f>
        <v>201.668538098547</v>
      </c>
      <c r="AO99" s="27" t="n">
        <f aca="false"> AN99 + (1.9146 - 0.004817*M99 - 0.000014*M99^2)*SIN(R99)+ (0.019993 - 0.000101*M99)*SIN(2*R99)+ 0.00029*SIN(3*R99)</f>
        <v>199.76978430796</v>
      </c>
      <c r="AP99" s="18" t="n">
        <f aca="false">ACOS(COS(X99-$A$4*AO99)*COS(Y99))/$A$4</f>
        <v>140.869830011029</v>
      </c>
      <c r="AQ99" s="25" t="n">
        <f aca="false">180 - AP99 -0.1468*(1-0.0549*SIN(R99))*SIN($A$4*AP99)/(1-0.0167*SIN($A$4*AO99))</f>
        <v>39.0330430587001</v>
      </c>
      <c r="AR99" s="25" t="n">
        <f aca="false">SIN($A$4*AI99)</f>
        <v>0.179437705197003</v>
      </c>
      <c r="AS99" s="25" t="n">
        <f aca="false">COS($A$4*AI99)*SIN($A$4*$G$2) - TAN($A$4*AG99)*COS($A$4*$G$2)</f>
        <v>-0.742759774935695</v>
      </c>
      <c r="AT99" s="25" t="n">
        <f aca="false">IF(OR(AND(AR99*AS99&gt;0), AND(AR99&lt;0,AS99&gt;0)), MOD(ATAN2(AS99,AR99)/$A$4+360,360),  ATAN2(AS99,AR99)/$A$4)</f>
        <v>166.41856941111</v>
      </c>
      <c r="AU99" s="29" t="n">
        <f aca="false">(1+SIN($A$4*H99)*SIN($A$4*AJ99))*120*ASIN(0.272481*SIN($A$4*AJ99))/$A$4</f>
        <v>30.6844035445072</v>
      </c>
      <c r="AV99" s="10" t="n">
        <f aca="false">COS(X99)</f>
        <v>0.516848109565718</v>
      </c>
      <c r="AW99" s="10" t="n">
        <f aca="false">SIN(X99)</f>
        <v>0.856077117810273</v>
      </c>
      <c r="AX99" s="30" t="n">
        <f aca="false"> 385000.56 + (-20905355*COS(Q99) - 3699111*COS(2*S99-Q99) - 2955968*COS(2*S99) - 569925*COS(2*Q99) + (1-0.002516*M99)*48888*COS(R99) - 3149*COS(2*T99)  +246158*COS(2*S99-2*Q99) -(1-0.002516*M99)*152138*COS(2*S99-R99-Q99) -170733*COS(2*S99+Q99) -(1-0.002516*M99)*204586*COS(2*S99-R99) -(1-0.002516*M99)*129620*COS(R99-Q99)  + 108743*COS(S99) +(1-0.002516*M99)*104755*COS(R99+Q99) +10321*COS(2*S99-2*T99) +79661*COS(Q99-2*T99) -34782*COS(4*S99-Q99) -23210*COS(3*Q99)  -21636*COS(4*S99-2*Q99) +(1-0.002516*M99)*24208*COS(2*S99+R99-Q99) +(1-0.002516*M99)*30824*COS(2*S99+R99) -8379*COS(S99-Q99) -(1-0.002516*M99)*16675*COS(S99+R99)  -(1-0.002516*M99)*12831*COS(2*S99-R99+Q99) -10445*COS(2*S99+2*Q99) -11650*COS(4*S99) +14403*COS(2*S99-3*Q99) -(1-0.002516*M99)*7003*COS(R99-2*Q99)  + (1-0.002516*M99)*10056*COS(2*S99-R99-2*Q99) +6322*COS(S99+Q99) -(1-0.002516*M99)*(1-0.002516*M99)*9884*COS(2*S99-2*R99) +(1-0.002516*M99)*5751*COS(R99+2*Q99) -(1-0.002516*M99)*(1-0.002516*M99)*4950*COS(2*S99-2*R99-Q99)  +4130*COS(2*S99+Q99-2*T99) -(1-0.002516*M99)*3958*COS(4*S99-R99-Q99) +3258*COS(3*S99-Q99) +(1-0.002516*M99)*2616*COS(2*S99+R99+Q99) -(1-0.002516*M99)*1897*COS(4*S99-R99-2*Q99)  -(1-0.002516*M99)*(1-0.002516*M99)*2117*COS(2*R99-Q99) +(1-0.002516*M99)*(1-0.002516*M99)*2354*COS(2*S99+2*R99-Q99) -1423*COS(4*S99+Q99) -1117*COS(4*Q99) -(1-0.002516*M99)*1571*COS(4*S99-R99)  -1739*COS(S99-2*Q99) -4421*COS(2*Q99-2*T99) +(1-0.002516*M99)*(1-0.002516*M99)*1165*COS(2*R99+Q99) +8752*COS(2*S99-Q99-2*T99))/1000</f>
        <v>393731.406165575</v>
      </c>
      <c r="AY99" s="10" t="n">
        <f aca="false">AY98+1/8</f>
        <v>13.125</v>
      </c>
      <c r="AZ99" s="17" t="n">
        <f aca="false">AZ98+1</f>
        <v>98</v>
      </c>
      <c r="BA99" s="32" t="n">
        <f aca="false">ATAN(0.99664719*TAN($A$4*input!$E$2))</f>
        <v>-0.400219206115995</v>
      </c>
      <c r="BB99" s="32" t="n">
        <f aca="false">COS(BA99)</f>
        <v>0.920975608992155</v>
      </c>
      <c r="BC99" s="32" t="n">
        <f aca="false">0.99664719*SIN(BA99)</f>
        <v>-0.388313912533463</v>
      </c>
      <c r="BD99" s="32" t="n">
        <f aca="false">6378.14/AX99</f>
        <v>0.0161992157600906</v>
      </c>
      <c r="BE99" s="33" t="n">
        <f aca="false">MOD(N99-15*AH99,360)</f>
        <v>10.3370094450807</v>
      </c>
      <c r="BF99" s="27" t="n">
        <f aca="false">COS($A$4*AG99)*SIN($A$4*BE99)</f>
        <v>0.167212445986403</v>
      </c>
      <c r="BG99" s="27" t="n">
        <f aca="false">COS($A$4*AG99)*COS($A$4*BE99)-BB99*BD99</f>
        <v>0.901825127184864</v>
      </c>
      <c r="BH99" s="27" t="n">
        <f aca="false">SIN($A$4*AG99)-BC99*BD99</f>
        <v>0.369085159939698</v>
      </c>
      <c r="BI99" s="46" t="n">
        <f aca="false">SQRT(BF99^2+BG99^2+BH99^2)</f>
        <v>0.988672047446707</v>
      </c>
      <c r="BJ99" s="35" t="n">
        <f aca="false">AX99*BI99</f>
        <v>389271.23547779</v>
      </c>
    </row>
    <row r="100" customFormat="false" ht="15" hidden="false" customHeight="false" outlineLevel="0" collapsed="false">
      <c r="A100" s="20"/>
      <c r="B100" s="20"/>
      <c r="C100" s="15" t="n">
        <f aca="false">MOD(C99+3,24)</f>
        <v>6</v>
      </c>
      <c r="D100" s="17" t="n">
        <v>13</v>
      </c>
      <c r="E100" s="102" t="n">
        <f aca="false">input!$C$2</f>
        <v>10</v>
      </c>
      <c r="F100" s="102" t="n">
        <f aca="false">input!$D$2</f>
        <v>2022</v>
      </c>
      <c r="G100" s="0"/>
      <c r="H100" s="39" t="n">
        <f aca="false">AM100</f>
        <v>20.20865191037</v>
      </c>
      <c r="I100" s="48" t="n">
        <f aca="false">H100+1.02/(TAN($A$4*(H100+10.3/(H100+5.11)))*60)</f>
        <v>20.2538426336164</v>
      </c>
      <c r="J100" s="39" t="n">
        <f aca="false">100*(1+COS($A$4*AQ100))/2</f>
        <v>88.0380208444238</v>
      </c>
      <c r="K100" s="48" t="n">
        <f aca="false">IF(AI100&gt;180,AT100-180,AT100+180)</f>
        <v>306.500987114423</v>
      </c>
      <c r="L100" s="10" t="n">
        <f aca="false">L99+1/8</f>
        <v>2459865.75</v>
      </c>
      <c r="M100" s="49" t="n">
        <f aca="false">(L100-2451545)/36525</f>
        <v>0.227809719370294</v>
      </c>
      <c r="N100" s="15" t="n">
        <f aca="false">MOD(280.46061837+360.98564736629*(L100-2451545)+0.000387933*M100^2-M100^3/38710000+$G$4,360)</f>
        <v>111.785961559974</v>
      </c>
      <c r="O100" s="18" t="n">
        <f aca="false">0.60643382+1336.85522467*M100 - 0.00000313*M100^2 - INT(0.60643382+1336.85522467*M100 - 0.00000313*M100^2)</f>
        <v>0.155047228346064</v>
      </c>
      <c r="P100" s="15" t="n">
        <f aca="false">22640*SIN(Q100)-4586*SIN(Q100-2*S100)+2370*SIN(2*S100)+769*SIN(2*Q100)-668*SIN(R100)-412*SIN(2*T100)-212*SIN(2*Q100-2*S100)-206*SIN(Q100+R100-2*S100)+192*SIN(Q100+2*S100)-165*SIN(R100-2*S100)-125*SIN(S100)-110*SIN(Q100+R100)+148*SIN(Q100-R100)-55*SIN(2*T100-2*S100)</f>
        <v>16636.3915409737</v>
      </c>
      <c r="Q100" s="18" t="n">
        <f aca="false">2*PI()*(0.374897+1325.55241*M100 - INT(0.374897+1325.55241*M100))</f>
        <v>2.19044112576511</v>
      </c>
      <c r="R100" s="26" t="n">
        <f aca="false">2*PI()*(0.99312619+99.99735956*M100 - 0.00000044*M100^2 - INT(0.99312619+99.99735956*M100- 0.00000044*M100^2))</f>
        <v>4.86002238618885</v>
      </c>
      <c r="S100" s="26" t="n">
        <f aca="false">2*PI()*(0.827361+1236.853086*M100 - INT(0.827361+1236.853086*M100))</f>
        <v>3.73545057660741</v>
      </c>
      <c r="T100" s="26" t="n">
        <f aca="false">2*PI()*(0.259086+1342.227825*M100 - INT(0.259086+1342.227825*M100))</f>
        <v>0.198738057618887</v>
      </c>
      <c r="U100" s="26" t="n">
        <f aca="false">T100+(P100+412*SIN(2*T100)+541*SIN(R100))/206264.8062</f>
        <v>0.277572440208489</v>
      </c>
      <c r="V100" s="26" t="n">
        <f aca="false">T100-2*S100</f>
        <v>-7.27216309559592</v>
      </c>
      <c r="W100" s="25" t="n">
        <f aca="false">-526*SIN(V100)+44*SIN(Q100+V100)-31*SIN(-Q100+V100)-23*SIN(R100+V100)+11*SIN(-R100+V100)-25*SIN(-2*Q100+T100)+21*SIN(-Q100+T100)</f>
        <v>458.536898534151</v>
      </c>
      <c r="X100" s="26" t="n">
        <f aca="false">2*PI()*(O100+P100/1296000-INT(O100+P100/1296000))</f>
        <v>1.0548459692965</v>
      </c>
      <c r="Y100" s="26" t="n">
        <f aca="false">(18520*SIN(U100)+W100)/206264.8062</f>
        <v>0.026826781804599</v>
      </c>
      <c r="Z100" s="26" t="n">
        <f aca="false">Y100*180/PI()</f>
        <v>1.53706137532187</v>
      </c>
      <c r="AA100" s="26" t="n">
        <f aca="false">COS(Y100)*COS(X100)</f>
        <v>0.493184196001365</v>
      </c>
      <c r="AB100" s="26" t="n">
        <f aca="false">COS(Y100)*SIN(X100)</f>
        <v>0.869511268023912</v>
      </c>
      <c r="AC100" s="26" t="n">
        <f aca="false">SIN(Y100)</f>
        <v>0.0268235641542216</v>
      </c>
      <c r="AD100" s="26" t="n">
        <f aca="false">COS($A$4*(23.4393-46.815*M100/3600))*AB100-SIN($A$4*(23.4393-46.815*M100/3600))*AC100</f>
        <v>0.787110287342125</v>
      </c>
      <c r="AE100" s="26" t="n">
        <f aca="false">SIN($A$4*(23.4393-46.815*M100/3600))*AB100+COS($A$4*(23.4393-46.815*M100/3600))*AC100</f>
        <v>0.370441283302341</v>
      </c>
      <c r="AF100" s="26" t="n">
        <f aca="false">SQRT(1-AE100*AE100)</f>
        <v>0.928855885283242</v>
      </c>
      <c r="AG100" s="10" t="n">
        <f aca="false">ATAN(AE100/AF100)/$A$4</f>
        <v>21.7428349360259</v>
      </c>
      <c r="AH100" s="26" t="n">
        <f aca="false">IF(24*ATAN(AD100/(AA100+AF100))/PI()&gt;0,24*ATAN(AD100/(AA100+AF100))/PI(),24*ATAN(AD100/(AA100+AF100))/PI()+24)</f>
        <v>3.86198271657913</v>
      </c>
      <c r="AI100" s="10" t="n">
        <f aca="false">IF(N100-15*AH100&gt;0,N100-15*AH100,360+N100-15*AH100)</f>
        <v>53.8562208112868</v>
      </c>
      <c r="AJ100" s="18" t="n">
        <f aca="false">0.950724+0.051818*COS(Q100)+0.009531*COS(2*S100-Q100)+0.007843*COS(2*S100)+0.002824*COS(2*Q100)+0.000857*COS(2*S100+Q100)+0.000533*COS(2*S100-R100)+0.000401*COS(2*S100-R100-Q100)+0.00032*COS(Q100-R100)-0.000271*COS(S100)</f>
        <v>0.926783931123556</v>
      </c>
      <c r="AK100" s="50" t="n">
        <f aca="false">ASIN(COS($A$4*$G$2)*COS($A$4*AG100)*COS($A$4*AI100)+SIN($A$4*$G$2)*SIN($A$4*AG100))/$A$4</f>
        <v>21.0730107691391</v>
      </c>
      <c r="AL100" s="18" t="n">
        <f aca="false">ASIN((0.9983271+0.0016764*COS($A$4*2*$G$2))*COS($A$4*AK100)*SIN($A$4*AJ100))/$A$4</f>
        <v>0.864358858769164</v>
      </c>
      <c r="AM100" s="18" t="n">
        <f aca="false">AK100-AL100</f>
        <v>20.20865191037</v>
      </c>
      <c r="AN100" s="10" t="n">
        <f aca="false"> IF(280.4664567 + 360007.6982779*M100/10 + 0.03032028*M100^2/100 + M100^3/49931000&lt;0,MOD(280.4664567 + 360007.6982779*M100/10 + 0.03032028*M100^2/100 + M100^3/49931000+360,360),MOD(280.4664567 + 360007.6982779*M100/10 + 0.03032028*M100^2/100 + M100^3/49931000,360))</f>
        <v>201.791744019032</v>
      </c>
      <c r="AO100" s="27" t="n">
        <f aca="false"> AN100 + (1.9146 - 0.004817*M100 - 0.000014*M100^2)*SIN(R100)+ (0.019993 - 0.000101*M100)*SIN(2*R100)+ 0.00029*SIN(3*R100)</f>
        <v>199.893508088434</v>
      </c>
      <c r="AP100" s="18" t="n">
        <f aca="false">ACOS(COS(X100-$A$4*AO100)*COS(Y100))/$A$4</f>
        <v>139.43119184499</v>
      </c>
      <c r="AQ100" s="25" t="n">
        <f aca="false">180 - AP100 -0.1468*(1-0.0549*SIN(R100))*SIN($A$4*AP100)/(1-0.0167*SIN($A$4*AO100))</f>
        <v>40.4687195044263</v>
      </c>
      <c r="AR100" s="25" t="n">
        <f aca="false">SIN($A$4*AI100)</f>
        <v>0.807539448449281</v>
      </c>
      <c r="AS100" s="25" t="n">
        <f aca="false">COS($A$4*AI100)*SIN($A$4*$G$2) - TAN($A$4*AG100)*COS($A$4*$G$2)</f>
        <v>-0.597569289030726</v>
      </c>
      <c r="AT100" s="25" t="n">
        <f aca="false">IF(OR(AND(AR100*AS100&gt;0), AND(AR100&lt;0,AS100&gt;0)), MOD(ATAN2(AS100,AR100)/$A$4+360,360),  ATAN2(AS100,AR100)/$A$4)</f>
        <v>126.500987114423</v>
      </c>
      <c r="AU100" s="29" t="n">
        <f aca="false">(1+SIN($A$4*H100)*SIN($A$4*AJ100))*120*ASIN(0.272481*SIN($A$4*AJ100))/$A$4</f>
        <v>30.4718101830377</v>
      </c>
      <c r="AV100" s="10" t="n">
        <f aca="false">COS(X100)</f>
        <v>0.493361715702406</v>
      </c>
      <c r="AW100" s="10" t="n">
        <f aca="false">SIN(X100)</f>
        <v>0.869824245166332</v>
      </c>
      <c r="AX100" s="30" t="n">
        <f aca="false"> 385000.56 + (-20905355*COS(Q100) - 3699111*COS(2*S100-Q100) - 2955968*COS(2*S100) - 569925*COS(2*Q100) + (1-0.002516*M100)*48888*COS(R100) - 3149*COS(2*T100)  +246158*COS(2*S100-2*Q100) -(1-0.002516*M100)*152138*COS(2*S100-R100-Q100) -170733*COS(2*S100+Q100) -(1-0.002516*M100)*204586*COS(2*S100-R100) -(1-0.002516*M100)*129620*COS(R100-Q100)  + 108743*COS(S100) +(1-0.002516*M100)*104755*COS(R100+Q100) +10321*COS(2*S100-2*T100) +79661*COS(Q100-2*T100) -34782*COS(4*S100-Q100) -23210*COS(3*Q100)  -21636*COS(4*S100-2*Q100) +(1-0.002516*M100)*24208*COS(2*S100+R100-Q100) +(1-0.002516*M100)*30824*COS(2*S100+R100) -8379*COS(S100-Q100) -(1-0.002516*M100)*16675*COS(S100+R100)  -(1-0.002516*M100)*12831*COS(2*S100-R100+Q100) -10445*COS(2*S100+2*Q100) -11650*COS(4*S100) +14403*COS(2*S100-3*Q100) -(1-0.002516*M100)*7003*COS(R100-2*Q100)  + (1-0.002516*M100)*10056*COS(2*S100-R100-2*Q100) +6322*COS(S100+Q100) -(1-0.002516*M100)*(1-0.002516*M100)*9884*COS(2*S100-2*R100) +(1-0.002516*M100)*5751*COS(R100+2*Q100) -(1-0.002516*M100)*(1-0.002516*M100)*4950*COS(2*S100-2*R100-Q100)  +4130*COS(2*S100+Q100-2*T100) -(1-0.002516*M100)*3958*COS(4*S100-R100-Q100) +3258*COS(3*S100-Q100) +(1-0.002516*M100)*2616*COS(2*S100+R100+Q100) -(1-0.002516*M100)*1897*COS(4*S100-R100-2*Q100)  -(1-0.002516*M100)*(1-0.002516*M100)*2117*COS(2*R100-Q100) +(1-0.002516*M100)*(1-0.002516*M100)*2354*COS(2*S100+2*R100-Q100) -1423*COS(4*S100+Q100) -1117*COS(4*Q100) -(1-0.002516*M100)*1571*COS(4*S100-R100)  -1739*COS(S100-2*Q100) -4421*COS(2*Q100-2*T100) +(1-0.002516*M100)*(1-0.002516*M100)*1165*COS(2*R100+Q100) +8752*COS(2*S100-Q100-2*T100))/1000</f>
        <v>394261.700180984</v>
      </c>
      <c r="AY100" s="10" t="n">
        <f aca="false">AY99+1/8</f>
        <v>13.25</v>
      </c>
      <c r="AZ100" s="17" t="n">
        <f aca="false">AZ99+1</f>
        <v>99</v>
      </c>
      <c r="BA100" s="32" t="n">
        <f aca="false">ATAN(0.99664719*TAN($A$4*input!$E$2))</f>
        <v>-0.400219206115995</v>
      </c>
      <c r="BB100" s="32" t="n">
        <f aca="false">COS(BA100)</f>
        <v>0.920975608992155</v>
      </c>
      <c r="BC100" s="32" t="n">
        <f aca="false">0.99664719*SIN(BA100)</f>
        <v>-0.388313912533463</v>
      </c>
      <c r="BD100" s="32" t="n">
        <f aca="false">6378.14/AX100</f>
        <v>0.0161774273206658</v>
      </c>
      <c r="BE100" s="33" t="n">
        <f aca="false">MOD(N100-15*AH100,360)</f>
        <v>53.8562208112868</v>
      </c>
      <c r="BF100" s="27" t="n">
        <f aca="false">COS($A$4*AG100)*SIN($A$4*BE100)</f>
        <v>0.750087769290497</v>
      </c>
      <c r="BG100" s="27" t="n">
        <f aca="false">COS($A$4*AG100)*COS($A$4*BE100)-BB100*BD100</f>
        <v>0.532952783312181</v>
      </c>
      <c r="BH100" s="27" t="n">
        <f aca="false">SIN($A$4*AG100)-BC100*BD100</f>
        <v>0.376723203399955</v>
      </c>
      <c r="BI100" s="46" t="n">
        <f aca="false">SQRT(BF100^2+BG100^2+BH100^2)</f>
        <v>0.994278986431534</v>
      </c>
      <c r="BJ100" s="35" t="n">
        <f aca="false">AX100*BI100</f>
        <v>392006.123644722</v>
      </c>
    </row>
    <row r="101" customFormat="false" ht="15" hidden="false" customHeight="false" outlineLevel="0" collapsed="false">
      <c r="A101" s="20"/>
      <c r="B101" s="20"/>
      <c r="C101" s="15" t="n">
        <f aca="false">MOD(C100+3,24)</f>
        <v>9</v>
      </c>
      <c r="D101" s="17" t="n">
        <v>13</v>
      </c>
      <c r="E101" s="102" t="n">
        <f aca="false">input!$C$2</f>
        <v>10</v>
      </c>
      <c r="F101" s="102" t="n">
        <f aca="false">input!$D$2</f>
        <v>2022</v>
      </c>
      <c r="G101" s="0"/>
      <c r="H101" s="39" t="n">
        <f aca="false">AM101</f>
        <v>-15.782617778644</v>
      </c>
      <c r="I101" s="48" t="n">
        <f aca="false">H101+1.02/(TAN($A$4*(H101+10.3/(H101+5.11)))*60)</f>
        <v>-15.8391107963992</v>
      </c>
      <c r="J101" s="39" t="n">
        <f aca="false">100*(1+COS($A$4*AQ101))/2</f>
        <v>87.2155567666507</v>
      </c>
      <c r="K101" s="48" t="n">
        <f aca="false">IF(AI101&gt;180,AT101-180,AT101+180)</f>
        <v>288.168977806064</v>
      </c>
      <c r="L101" s="10" t="n">
        <f aca="false">L100+1/8</f>
        <v>2459865.875</v>
      </c>
      <c r="M101" s="49" t="n">
        <f aca="false">(L101-2451545)/36525</f>
        <v>0.227813141683778</v>
      </c>
      <c r="N101" s="15" t="n">
        <f aca="false">MOD(280.46061837+360.98564736629*(L101-2451545)+0.000387933*M101^2-M101^3/38710000+$G$4,360)</f>
        <v>156.909167481121</v>
      </c>
      <c r="O101" s="18" t="n">
        <f aca="false">0.60643382+1336.85522467*M101 - 0.00000313*M101^2 - INT(0.60643382+1336.85522467*M101 - 0.00000313*M101^2)</f>
        <v>0.159622366002623</v>
      </c>
      <c r="P101" s="15" t="n">
        <f aca="false">22640*SIN(Q101)-4586*SIN(Q101-2*S101)+2370*SIN(2*S101)+769*SIN(2*Q101)-668*SIN(R101)-412*SIN(2*T101)-212*SIN(2*Q101-2*S101)-206*SIN(Q101+R101-2*S101)+192*SIN(Q101+2*S101)-165*SIN(R101-2*S101)-125*SIN(S101)-110*SIN(Q101+R101)+148*SIN(Q101-R101)-55*SIN(2*T101-2*S101)</f>
        <v>16304.6115315033</v>
      </c>
      <c r="Q101" s="18" t="n">
        <f aca="false">2*PI()*(0.374897+1325.55241*M101 - INT(0.374897+1325.55241*M101))</f>
        <v>2.21894451873691</v>
      </c>
      <c r="R101" s="26" t="n">
        <f aca="false">2*PI()*(0.99312619+99.99735956*M101 - 0.00000044*M101^2 - INT(0.99312619+99.99735956*M101- 0.00000044*M101^2))</f>
        <v>4.86217263238696</v>
      </c>
      <c r="S101" s="26" t="n">
        <f aca="false">2*PI()*(0.827361+1236.853086*M101 - INT(0.827361+1236.853086*M101))</f>
        <v>3.76204666537197</v>
      </c>
      <c r="T101" s="26" t="n">
        <f aca="false">2*PI()*(0.259086+1342.227825*M101 - INT(0.259086+1342.227825*M101))</f>
        <v>0.227600022536289</v>
      </c>
      <c r="U101" s="26" t="n">
        <f aca="false">T101+(P101+412*SIN(2*T101)+541*SIN(R101))/206264.8062</f>
        <v>0.304931690002479</v>
      </c>
      <c r="V101" s="26" t="n">
        <f aca="false">T101-2*S101</f>
        <v>-7.29649330820765</v>
      </c>
      <c r="W101" s="25" t="n">
        <f aca="false">-526*SIN(V101)+44*SIN(Q101+V101)-31*SIN(-Q101+V101)-23*SIN(R101+V101)+11*SIN(-R101+V101)-25*SIN(-2*Q101+T101)+21*SIN(-Q101+T101)</f>
        <v>462.870437043874</v>
      </c>
      <c r="X101" s="26" t="n">
        <f aca="false">2*PI()*(O101+P101/1296000-INT(O101+P101/1296000))</f>
        <v>1.08198389212141</v>
      </c>
      <c r="Y101" s="26" t="n">
        <f aca="false">(18520*SIN(U101)+W101)/206264.8062</f>
        <v>0.0292007804289411</v>
      </c>
      <c r="Z101" s="26" t="n">
        <f aca="false">Y101*180/PI()</f>
        <v>1.67308147706654</v>
      </c>
      <c r="AA101" s="26" t="n">
        <f aca="false">COS(Y101)*COS(X101)</f>
        <v>0.46937754179054</v>
      </c>
      <c r="AB101" s="26" t="n">
        <f aca="false">COS(Y101)*SIN(X101)</f>
        <v>0.882514747760638</v>
      </c>
      <c r="AC101" s="26" t="n">
        <f aca="false">SIN(Y101)</f>
        <v>0.0291966307584752</v>
      </c>
      <c r="AD101" s="26" t="n">
        <f aca="false">COS($A$4*(23.4393-46.815*M101/3600))*AB101-SIN($A$4*(23.4393-46.815*M101/3600))*AC101</f>
        <v>0.798097174216591</v>
      </c>
      <c r="AE101" s="26" t="n">
        <f aca="false">SIN($A$4*(23.4393-46.815*M101/3600))*AB101+COS($A$4*(23.4393-46.815*M101/3600))*AC101</f>
        <v>0.377790449548639</v>
      </c>
      <c r="AF101" s="26" t="n">
        <f aca="false">SQRT(1-AE101*AE101)</f>
        <v>0.925891125473097</v>
      </c>
      <c r="AG101" s="10" t="n">
        <f aca="false">ATAN(AE101/AF101)/$A$4</f>
        <v>22.1968850062115</v>
      </c>
      <c r="AH101" s="26" t="n">
        <f aca="false">IF(24*ATAN(AD101/(AA101+AF101))/PI()&gt;0,24*ATAN(AD101/(AA101+AF101))/PI(),24*ATAN(AD101/(AA101+AF101))/PI()+24)</f>
        <v>3.96928862221366</v>
      </c>
      <c r="AI101" s="10" t="n">
        <f aca="false">IF(N101-15*AH101&gt;0,N101-15*AH101,360+N101-15*AH101)</f>
        <v>97.3698381479158</v>
      </c>
      <c r="AJ101" s="18" t="n">
        <f aca="false">0.950724+0.051818*COS(Q101)+0.009531*COS(2*S101-Q101)+0.007843*COS(2*S101)+0.002824*COS(2*Q101)+0.000857*COS(2*S101+Q101)+0.000533*COS(2*S101-R101)+0.000401*COS(2*S101-R101-Q101)+0.00032*COS(Q101-R101)-0.000271*COS(S101)</f>
        <v>0.92555545584195</v>
      </c>
      <c r="AK101" s="50" t="n">
        <f aca="false">ASIN(COS($A$4*$G$2)*COS($A$4*AG101)*COS($A$4*AI101)+SIN($A$4*$G$2)*SIN($A$4*AG101))/$A$4</f>
        <v>-14.8885930988672</v>
      </c>
      <c r="AL101" s="18" t="n">
        <f aca="false">ASIN((0.9983271+0.0016764*COS($A$4*2*$G$2))*COS($A$4*AK101)*SIN($A$4*AJ101))/$A$4</f>
        <v>0.894024679776848</v>
      </c>
      <c r="AM101" s="18" t="n">
        <f aca="false">AK101-AL101</f>
        <v>-15.782617778644</v>
      </c>
      <c r="AN101" s="10" t="n">
        <f aca="false"> IF(280.4664567 + 360007.6982779*M101/10 + 0.03032028*M101^2/100 + M101^3/49931000&lt;0,MOD(280.4664567 + 360007.6982779*M101/10 + 0.03032028*M101^2/100 + M101^3/49931000+360,360),MOD(280.4664567 + 360007.6982779*M101/10 + 0.03032028*M101^2/100 + M101^3/49931000,360))</f>
        <v>201.914949939517</v>
      </c>
      <c r="AO101" s="27" t="n">
        <f aca="false"> AN101 + (1.9146 - 0.004817*M101 - 0.000014*M101^2)*SIN(R101)+ (0.019993 - 0.000101*M101)*SIN(2*R101)+ 0.00029*SIN(3*R101)</f>
        <v>200.017240716416</v>
      </c>
      <c r="AP101" s="18" t="n">
        <f aca="false">ACOS(COS(X101-$A$4*AO101)*COS(Y101))/$A$4</f>
        <v>137.996986638448</v>
      </c>
      <c r="AQ101" s="25" t="n">
        <f aca="false">180 - AP101 -0.1468*(1-0.0549*SIN(R101))*SIN($A$4*AP101)/(1-0.0167*SIN($A$4*AO101))</f>
        <v>41.9000352524312</v>
      </c>
      <c r="AR101" s="25" t="n">
        <f aca="false">SIN($A$4*AI101)</f>
        <v>0.991738826018235</v>
      </c>
      <c r="AS101" s="25" t="n">
        <f aca="false">COS($A$4*AI101)*SIN($A$4*$G$2) - TAN($A$4*AG101)*COS($A$4*$G$2)</f>
        <v>-0.325472229355747</v>
      </c>
      <c r="AT101" s="25" t="n">
        <f aca="false">IF(OR(AND(AR101*AS101&gt;0), AND(AR101&lt;0,AS101&gt;0)), MOD(ATAN2(AS101,AR101)/$A$4+360,360),  ATAN2(AS101,AR101)/$A$4)</f>
        <v>108.168977806064</v>
      </c>
      <c r="AU101" s="29" t="n">
        <f aca="false">(1+SIN($A$4*H101)*SIN($A$4*AJ101))*120*ASIN(0.272481*SIN($A$4*AJ101))/$A$4</f>
        <v>30.1293769144081</v>
      </c>
      <c r="AV101" s="10" t="n">
        <f aca="false">COS(X101)</f>
        <v>0.469577728643632</v>
      </c>
      <c r="AW101" s="10" t="n">
        <f aca="false">SIN(X101)</f>
        <v>0.88289113528333</v>
      </c>
      <c r="AX101" s="30" t="n">
        <f aca="false"> 385000.56 + (-20905355*COS(Q101) - 3699111*COS(2*S101-Q101) - 2955968*COS(2*S101) - 569925*COS(2*Q101) + (1-0.002516*M101)*48888*COS(R101) - 3149*COS(2*T101)  +246158*COS(2*S101-2*Q101) -(1-0.002516*M101)*152138*COS(2*S101-R101-Q101) -170733*COS(2*S101+Q101) -(1-0.002516*M101)*204586*COS(2*S101-R101) -(1-0.002516*M101)*129620*COS(R101-Q101)  + 108743*COS(S101) +(1-0.002516*M101)*104755*COS(R101+Q101) +10321*COS(2*S101-2*T101) +79661*COS(Q101-2*T101) -34782*COS(4*S101-Q101) -23210*COS(3*Q101)  -21636*COS(4*S101-2*Q101) +(1-0.002516*M101)*24208*COS(2*S101+R101-Q101) +(1-0.002516*M101)*30824*COS(2*S101+R101) -8379*COS(S101-Q101) -(1-0.002516*M101)*16675*COS(S101+R101)  -(1-0.002516*M101)*12831*COS(2*S101-R101+Q101) -10445*COS(2*S101+2*Q101) -11650*COS(4*S101) +14403*COS(2*S101-3*Q101) -(1-0.002516*M101)*7003*COS(R101-2*Q101)  + (1-0.002516*M101)*10056*COS(2*S101-R101-2*Q101) +6322*COS(S101+Q101) -(1-0.002516*M101)*(1-0.002516*M101)*9884*COS(2*S101-2*R101) +(1-0.002516*M101)*5751*COS(R101+2*Q101) -(1-0.002516*M101)*(1-0.002516*M101)*4950*COS(2*S101-2*R101-Q101)  +4130*COS(2*S101+Q101-2*T101) -(1-0.002516*M101)*3958*COS(4*S101-R101-Q101) +3258*COS(3*S101-Q101) +(1-0.002516*M101)*2616*COS(2*S101+R101+Q101) -(1-0.002516*M101)*1897*COS(4*S101-R101-2*Q101)  -(1-0.002516*M101)*(1-0.002516*M101)*2117*COS(2*R101-Q101) +(1-0.002516*M101)*(1-0.002516*M101)*2354*COS(2*S101+2*R101-Q101) -1423*COS(4*S101+Q101) -1117*COS(4*Q101) -(1-0.002516*M101)*1571*COS(4*S101-R101)  -1739*COS(S101-2*Q101) -4421*COS(2*Q101-2*T101) +(1-0.002516*M101)*(1-0.002516*M101)*1165*COS(2*R101+Q101) +8752*COS(2*S101-Q101-2*T101))/1000</f>
        <v>394784.567181828</v>
      </c>
      <c r="AY101" s="10" t="n">
        <f aca="false">AY100+1/8</f>
        <v>13.375</v>
      </c>
      <c r="AZ101" s="17" t="n">
        <f aca="false">AZ100+1</f>
        <v>100</v>
      </c>
      <c r="BA101" s="32" t="n">
        <f aca="false">ATAN(0.99664719*TAN($A$4*input!$E$2))</f>
        <v>-0.400219206115995</v>
      </c>
      <c r="BB101" s="32" t="n">
        <f aca="false">COS(BA101)</f>
        <v>0.920975608992155</v>
      </c>
      <c r="BC101" s="32" t="n">
        <f aca="false">0.99664719*SIN(BA101)</f>
        <v>-0.388313912533463</v>
      </c>
      <c r="BD101" s="32" t="n">
        <f aca="false">6378.14/AX101</f>
        <v>0.0161560013491165</v>
      </c>
      <c r="BE101" s="33" t="n">
        <f aca="false">MOD(N101-15*AH101,360)</f>
        <v>97.3698381479158</v>
      </c>
      <c r="BF101" s="27" t="n">
        <f aca="false">COS($A$4*AG101)*SIN($A$4*BE101)</f>
        <v>0.918242177797391</v>
      </c>
      <c r="BG101" s="27" t="n">
        <f aca="false">COS($A$4*AG101)*COS($A$4*BE101)-BB101*BD101</f>
        <v>-0.133646615153357</v>
      </c>
      <c r="BH101" s="27" t="n">
        <f aca="false">SIN($A$4*AG101)-BC101*BD101</f>
        <v>0.38406404964341</v>
      </c>
      <c r="BI101" s="46" t="n">
        <f aca="false">SQRT(BF101^2+BG101^2+BH101^2)</f>
        <v>1.00425858674773</v>
      </c>
      <c r="BJ101" s="35" t="n">
        <f aca="false">AX101*BI101</f>
        <v>396465.791507835</v>
      </c>
    </row>
    <row r="102" customFormat="false" ht="15" hidden="false" customHeight="false" outlineLevel="0" collapsed="false">
      <c r="A102" s="20"/>
      <c r="B102" s="20"/>
      <c r="C102" s="15" t="n">
        <f aca="false">MOD(C101+3,24)</f>
        <v>12</v>
      </c>
      <c r="D102" s="17" t="n">
        <v>13</v>
      </c>
      <c r="E102" s="102" t="n">
        <f aca="false">input!$C$2</f>
        <v>10</v>
      </c>
      <c r="F102" s="102" t="n">
        <f aca="false">input!$D$2</f>
        <v>2022</v>
      </c>
      <c r="G102" s="0"/>
      <c r="H102" s="39" t="n">
        <f aca="false">AM102</f>
        <v>-54.5894801979646</v>
      </c>
      <c r="I102" s="48" t="n">
        <f aca="false">H102+1.02/(TAN($A$4*(H102+10.3/(H102+5.11)))*60)</f>
        <v>-54.6014734242418</v>
      </c>
      <c r="J102" s="39" t="n">
        <f aca="false">100*(1+COS($A$4*AQ102))/2</f>
        <v>86.3724356687194</v>
      </c>
      <c r="K102" s="48" t="n">
        <f aca="false">IF(AI102&gt;180,AT102-180,AT102+180)</f>
        <v>277.286241995933</v>
      </c>
      <c r="L102" s="10" t="n">
        <f aca="false">L101+1/8</f>
        <v>2459866</v>
      </c>
      <c r="M102" s="49" t="n">
        <f aca="false">(L102-2451545)/36525</f>
        <v>0.227816563997262</v>
      </c>
      <c r="N102" s="15" t="n">
        <f aca="false">MOD(280.46061837+360.98564736629*(L102-2451545)+0.000387933*M102^2-M102^3/38710000+$G$4,360)</f>
        <v>202.032373402268</v>
      </c>
      <c r="O102" s="18" t="n">
        <f aca="false">0.60643382+1336.85522467*M102 - 0.00000313*M102^2 - INT(0.60643382+1336.85522467*M102 - 0.00000313*M102^2)</f>
        <v>0.164197503659182</v>
      </c>
      <c r="P102" s="15" t="n">
        <f aca="false">22640*SIN(Q102)-4586*SIN(Q102-2*S102)+2370*SIN(2*S102)+769*SIN(2*Q102)-668*SIN(R102)-412*SIN(2*T102)-212*SIN(2*Q102-2*S102)-206*SIN(Q102+R102-2*S102)+192*SIN(Q102+2*S102)-165*SIN(R102-2*S102)-125*SIN(S102)-110*SIN(Q102+R102)+148*SIN(Q102-R102)-55*SIN(2*T102-2*S102)</f>
        <v>15957.3781978013</v>
      </c>
      <c r="Q102" s="18" t="n">
        <f aca="false">2*PI()*(0.374897+1325.55241*M102 - INT(0.374897+1325.55241*M102))</f>
        <v>2.24744791170907</v>
      </c>
      <c r="R102" s="26" t="n">
        <f aca="false">2*PI()*(0.99312619+99.99735956*M102 - 0.00000044*M102^2 - INT(0.99312619+99.99735956*M102- 0.00000044*M102^2))</f>
        <v>4.86432287858506</v>
      </c>
      <c r="S102" s="26" t="n">
        <f aca="false">2*PI()*(0.827361+1236.853086*M102 - INT(0.827361+1236.853086*M102))</f>
        <v>3.78864275413725</v>
      </c>
      <c r="T102" s="26" t="n">
        <f aca="false">2*PI()*(0.259086+1342.227825*M102 - INT(0.259086+1342.227825*M102))</f>
        <v>0.256461987454049</v>
      </c>
      <c r="U102" s="26" t="n">
        <f aca="false">T102+(P102+412*SIN(2*T102)+541*SIN(R102))/206264.8062</f>
        <v>0.33221310671151</v>
      </c>
      <c r="V102" s="26" t="n">
        <f aca="false">T102-2*S102</f>
        <v>-7.32082352082045</v>
      </c>
      <c r="W102" s="25" t="n">
        <f aca="false">-526*SIN(V102)+44*SIN(Q102+V102)-31*SIN(-Q102+V102)-23*SIN(R102+V102)+11*SIN(-R102+V102)-25*SIN(-2*Q102+T102)+21*SIN(-Q102+T102)</f>
        <v>466.953830937068</v>
      </c>
      <c r="X102" s="26" t="n">
        <f aca="false">2*PI()*(O102+P102/1296000-INT(O102+P102/1296000))</f>
        <v>1.10904689511627</v>
      </c>
      <c r="Y102" s="26" t="n">
        <f aca="false">(18520*SIN(U102)+W102)/206264.8062</f>
        <v>0.0315467834598183</v>
      </c>
      <c r="Z102" s="26" t="n">
        <f aca="false">Y102*180/PI()</f>
        <v>1.8074975494607</v>
      </c>
      <c r="AA102" s="26" t="n">
        <f aca="false">COS(Y102)*COS(X102)</f>
        <v>0.445293339653912</v>
      </c>
      <c r="AB102" s="26" t="n">
        <f aca="false">COS(Y102)*SIN(X102)</f>
        <v>0.894829018422019</v>
      </c>
      <c r="AC102" s="26" t="n">
        <f aca="false">SIN(Y102)</f>
        <v>0.0315415511627512</v>
      </c>
      <c r="AD102" s="26" t="n">
        <f aca="false">COS($A$4*(23.4393-46.815*M102/3600))*AB102-SIN($A$4*(23.4393-46.815*M102/3600))*AC102</f>
        <v>0.808462904590898</v>
      </c>
      <c r="AE102" s="26" t="n">
        <f aca="false">SIN($A$4*(23.4393-46.815*M102/3600))*AB102+COS($A$4*(23.4393-46.815*M102/3600))*AC102</f>
        <v>0.384839672539508</v>
      </c>
      <c r="AF102" s="26" t="n">
        <f aca="false">SQRT(1-AE102*AE102)</f>
        <v>0.922983437792729</v>
      </c>
      <c r="AG102" s="10" t="n">
        <f aca="false">ATAN(AE102/AF102)/$A$4</f>
        <v>22.6337873003721</v>
      </c>
      <c r="AH102" s="26" t="n">
        <f aca="false">IF(24*ATAN(AD102/(AA102+AF102))/PI()&gt;0,24*ATAN(AD102/(AA102+AF102))/PI(),24*ATAN(AD102/(AA102+AF102))/PI()+24)</f>
        <v>4.07696422710755</v>
      </c>
      <c r="AI102" s="10" t="n">
        <f aca="false">IF(N102-15*AH102&gt;0,N102-15*AH102,360+N102-15*AH102)</f>
        <v>140.877909995655</v>
      </c>
      <c r="AJ102" s="18" t="n">
        <f aca="false">0.950724+0.051818*COS(Q102)+0.009531*COS(2*S102-Q102)+0.007843*COS(2*S102)+0.002824*COS(2*Q102)+0.000857*COS(2*S102+Q102)+0.000533*COS(2*S102-R102)+0.000401*COS(2*S102-R102-Q102)+0.00032*COS(Q102-R102)-0.000271*COS(S102)</f>
        <v>0.924350965796994</v>
      </c>
      <c r="AK102" s="50" t="n">
        <f aca="false">ASIN(COS($A$4*$G$2)*COS($A$4*AG102)*COS($A$4*AI102)+SIN($A$4*$G$2)*SIN($A$4*AG102))/$A$4</f>
        <v>-54.0470661408241</v>
      </c>
      <c r="AL102" s="18" t="n">
        <f aca="false">ASIN((0.9983271+0.0016764*COS($A$4*2*$G$2))*COS($A$4*AK102)*SIN($A$4*AJ102))/$A$4</f>
        <v>0.542414057140555</v>
      </c>
      <c r="AM102" s="18" t="n">
        <f aca="false">AK102-AL102</f>
        <v>-54.5894801979646</v>
      </c>
      <c r="AN102" s="10" t="n">
        <f aca="false"> IF(280.4664567 + 360007.6982779*M102/10 + 0.03032028*M102^2/100 + M102^3/49931000&lt;0,MOD(280.4664567 + 360007.6982779*M102/10 + 0.03032028*M102^2/100 + M102^3/49931000+360,360),MOD(280.4664567 + 360007.6982779*M102/10 + 0.03032028*M102^2/100 + M102^3/49931000,360))</f>
        <v>202.038155860004</v>
      </c>
      <c r="AO102" s="27" t="n">
        <f aca="false"> AN102 + (1.9146 - 0.004817*M102 - 0.000014*M102^2)*SIN(R102)+ (0.019993 - 0.000101*M102)*SIN(2*R102)+ 0.00029*SIN(3*R102)</f>
        <v>200.14098219064</v>
      </c>
      <c r="AP102" s="18" t="n">
        <f aca="false">ACOS(COS(X102-$A$4*AO102)*COS(Y102))/$A$4</f>
        <v>136.567140700125</v>
      </c>
      <c r="AQ102" s="25" t="n">
        <f aca="false">180 - AP102 -0.1468*(1-0.0549*SIN(R102))*SIN($A$4*AP102)/(1-0.0167*SIN($A$4*AO102))</f>
        <v>43.3270650649123</v>
      </c>
      <c r="AR102" s="25" t="n">
        <f aca="false">SIN($A$4*AI102)</f>
        <v>0.630974960049538</v>
      </c>
      <c r="AS102" s="25" t="n">
        <f aca="false">COS($A$4*AI102)*SIN($A$4*$G$2) - TAN($A$4*AG102)*COS($A$4*$G$2)</f>
        <v>-0.0806757636811234</v>
      </c>
      <c r="AT102" s="25" t="n">
        <f aca="false">IF(OR(AND(AR102*AS102&gt;0), AND(AR102&lt;0,AS102&gt;0)), MOD(ATAN2(AS102,AR102)/$A$4+360,360),  ATAN2(AS102,AR102)/$A$4)</f>
        <v>97.2862419959331</v>
      </c>
      <c r="AU102" s="29" t="n">
        <f aca="false">(1+SIN($A$4*H102)*SIN($A$4*AJ102))*120*ASIN(0.272481*SIN($A$4*AJ102))/$A$4</f>
        <v>29.8255795532623</v>
      </c>
      <c r="AV102" s="10" t="n">
        <f aca="false">COS(X102)</f>
        <v>0.445515009436902</v>
      </c>
      <c r="AW102" s="10" t="n">
        <f aca="false">SIN(X102)</f>
        <v>0.895274469850692</v>
      </c>
      <c r="AX102" s="30" t="n">
        <f aca="false"> 385000.56 + (-20905355*COS(Q102) - 3699111*COS(2*S102-Q102) - 2955968*COS(2*S102) - 569925*COS(2*Q102) + (1-0.002516*M102)*48888*COS(R102) - 3149*COS(2*T102)  +246158*COS(2*S102-2*Q102) -(1-0.002516*M102)*152138*COS(2*S102-R102-Q102) -170733*COS(2*S102+Q102) -(1-0.002516*M102)*204586*COS(2*S102-R102) -(1-0.002516*M102)*129620*COS(R102-Q102)  + 108743*COS(S102) +(1-0.002516*M102)*104755*COS(R102+Q102) +10321*COS(2*S102-2*T102) +79661*COS(Q102-2*T102) -34782*COS(4*S102-Q102) -23210*COS(3*Q102)  -21636*COS(4*S102-2*Q102) +(1-0.002516*M102)*24208*COS(2*S102+R102-Q102) +(1-0.002516*M102)*30824*COS(2*S102+R102) -8379*COS(S102-Q102) -(1-0.002516*M102)*16675*COS(S102+R102)  -(1-0.002516*M102)*12831*COS(2*S102-R102+Q102) -10445*COS(2*S102+2*Q102) -11650*COS(4*S102) +14403*COS(2*S102-3*Q102) -(1-0.002516*M102)*7003*COS(R102-2*Q102)  + (1-0.002516*M102)*10056*COS(2*S102-R102-2*Q102) +6322*COS(S102+Q102) -(1-0.002516*M102)*(1-0.002516*M102)*9884*COS(2*S102-2*R102) +(1-0.002516*M102)*5751*COS(R102+2*Q102) -(1-0.002516*M102)*(1-0.002516*M102)*4950*COS(2*S102-2*R102-Q102)  +4130*COS(2*S102+Q102-2*T102) -(1-0.002516*M102)*3958*COS(4*S102-R102-Q102) +3258*COS(3*S102-Q102) +(1-0.002516*M102)*2616*COS(2*S102+R102+Q102) -(1-0.002516*M102)*1897*COS(4*S102-R102-2*Q102)  -(1-0.002516*M102)*(1-0.002516*M102)*2117*COS(2*R102-Q102) +(1-0.002516*M102)*(1-0.002516*M102)*2354*COS(2*S102+2*R102-Q102) -1423*COS(4*S102+Q102) -1117*COS(4*Q102) -(1-0.002516*M102)*1571*COS(4*S102-R102)  -1739*COS(S102-2*Q102) -4421*COS(2*Q102-2*T102) +(1-0.002516*M102)*(1-0.002516*M102)*1165*COS(2*R102+Q102) +8752*COS(2*S102-Q102-2*T102))/1000</f>
        <v>395299.362086775</v>
      </c>
      <c r="AY102" s="10" t="n">
        <f aca="false">AY101+1/8</f>
        <v>13.5</v>
      </c>
      <c r="AZ102" s="17" t="n">
        <f aca="false">AZ101+1</f>
        <v>101</v>
      </c>
      <c r="BA102" s="32" t="n">
        <f aca="false">ATAN(0.99664719*TAN($A$4*input!$E$2))</f>
        <v>-0.400219206115995</v>
      </c>
      <c r="BB102" s="32" t="n">
        <f aca="false">COS(BA102)</f>
        <v>0.920975608992155</v>
      </c>
      <c r="BC102" s="32" t="n">
        <f aca="false">0.99664719*SIN(BA102)</f>
        <v>-0.388313912533463</v>
      </c>
      <c r="BD102" s="32" t="n">
        <f aca="false">6378.14/AX102</f>
        <v>0.0161349615297378</v>
      </c>
      <c r="BE102" s="33" t="n">
        <f aca="false">MOD(N102-15*AH102,360)</f>
        <v>140.877909995655</v>
      </c>
      <c r="BF102" s="27" t="n">
        <f aca="false">COS($A$4*AG102)*SIN($A$4*BE102)</f>
        <v>0.582379437787652</v>
      </c>
      <c r="BG102" s="27" t="n">
        <f aca="false">COS($A$4*AG102)*COS($A$4*BE102)-BB102*BD102</f>
        <v>-0.730913407431126</v>
      </c>
      <c r="BH102" s="27" t="n">
        <f aca="false">SIN($A$4*AG102)-BC102*BD102</f>
        <v>0.391105102579697</v>
      </c>
      <c r="BI102" s="46" t="n">
        <f aca="false">SQRT(BF102^2+BG102^2+BH102^2)</f>
        <v>1.01309595793504</v>
      </c>
      <c r="BJ102" s="35" t="n">
        <f aca="false">AX102*BI102</f>
        <v>400476.185904412</v>
      </c>
    </row>
    <row r="103" customFormat="false" ht="15" hidden="false" customHeight="false" outlineLevel="0" collapsed="false">
      <c r="A103" s="20"/>
      <c r="B103" s="20"/>
      <c r="C103" s="15" t="n">
        <f aca="false">MOD(C102+3,24)</f>
        <v>15</v>
      </c>
      <c r="D103" s="17" t="n">
        <v>13</v>
      </c>
      <c r="E103" s="102" t="n">
        <f aca="false">input!$C$2</f>
        <v>10</v>
      </c>
      <c r="F103" s="102" t="n">
        <f aca="false">input!$D$2</f>
        <v>2022</v>
      </c>
      <c r="G103" s="0"/>
      <c r="H103" s="39" t="n">
        <f aca="false">AM103</f>
        <v>-86.0331839554059</v>
      </c>
      <c r="I103" s="48" t="n">
        <f aca="false">H103+1.02/(TAN($A$4*(H103+10.3/(H103+5.11)))*60)</f>
        <v>-86.0343248766755</v>
      </c>
      <c r="J103" s="39" t="n">
        <f aca="false">100*(1+COS($A$4*AQ103))/2</f>
        <v>85.5093354091514</v>
      </c>
      <c r="K103" s="48" t="n">
        <f aca="false">IF(AI103&gt;180,AT103-180,AT103+180)</f>
        <v>88.3864123930056</v>
      </c>
      <c r="L103" s="10" t="n">
        <f aca="false">L102+1/8</f>
        <v>2459866.125</v>
      </c>
      <c r="M103" s="49" t="n">
        <f aca="false">(L103-2451545)/36525</f>
        <v>0.227819986310746</v>
      </c>
      <c r="N103" s="15" t="n">
        <f aca="false">MOD(280.46061837+360.98564736629*(L103-2451545)+0.000387933*M103^2-M103^3/38710000+$G$4,360)</f>
        <v>247.15557932388</v>
      </c>
      <c r="O103" s="18" t="n">
        <f aca="false">0.60643382+1336.85522467*M103 - 0.00000313*M103^2 - INT(0.60643382+1336.85522467*M103 - 0.00000313*M103^2)</f>
        <v>0.168772641315684</v>
      </c>
      <c r="P103" s="15" t="n">
        <f aca="false">22640*SIN(Q103)-4586*SIN(Q103-2*S103)+2370*SIN(2*S103)+769*SIN(2*Q103)-668*SIN(R103)-412*SIN(2*T103)-212*SIN(2*Q103-2*S103)-206*SIN(Q103+R103-2*S103)+192*SIN(Q103+2*S103)-165*SIN(R103-2*S103)-125*SIN(S103)-110*SIN(Q103+R103)+148*SIN(Q103-R103)-55*SIN(2*T103-2*S103)</f>
        <v>15595.0911453985</v>
      </c>
      <c r="Q103" s="18" t="n">
        <f aca="false">2*PI()*(0.374897+1325.55241*M103 - INT(0.374897+1325.55241*M103))</f>
        <v>2.27595130468122</v>
      </c>
      <c r="R103" s="26" t="n">
        <f aca="false">2*PI()*(0.99312619+99.99735956*M103 - 0.00000044*M103^2 - INT(0.99312619+99.99735956*M103- 0.00000044*M103^2))</f>
        <v>4.86647312478314</v>
      </c>
      <c r="S103" s="26" t="n">
        <f aca="false">2*PI()*(0.827361+1236.853086*M103 - INT(0.827361+1236.853086*M103))</f>
        <v>3.81523884290182</v>
      </c>
      <c r="T103" s="26" t="n">
        <f aca="false">2*PI()*(0.259086+1342.227825*M103 - INT(0.259086+1342.227825*M103))</f>
        <v>0.285323952371808</v>
      </c>
      <c r="U103" s="26" t="n">
        <f aca="false">T103+(P103+412*SIN(2*T103)+541*SIN(R103))/206264.8062</f>
        <v>0.359418287769007</v>
      </c>
      <c r="V103" s="26" t="n">
        <f aca="false">T103-2*S103</f>
        <v>-7.34515373343182</v>
      </c>
      <c r="W103" s="25" t="n">
        <f aca="false">-526*SIN(V103)+44*SIN(Q103+V103)-31*SIN(-Q103+V103)-23*SIN(R103+V103)+11*SIN(-R103+V103)-25*SIN(-2*Q103+T103)+21*SIN(-Q103+T103)</f>
        <v>470.788331276069</v>
      </c>
      <c r="X103" s="26" t="n">
        <f aca="false">2*PI()*(O103+P103/1296000-INT(O103+P103/1296000))</f>
        <v>1.13603691562299</v>
      </c>
      <c r="Y103" s="26" t="n">
        <f aca="false">(18520*SIN(U103)+W103)/206264.8062</f>
        <v>0.0338633790700438</v>
      </c>
      <c r="Z103" s="26" t="n">
        <f aca="false">Y103*180/PI()</f>
        <v>1.94022870076515</v>
      </c>
      <c r="AA103" s="26" t="n">
        <f aca="false">COS(Y103)*COS(X103)</f>
        <v>0.420950732907189</v>
      </c>
      <c r="AB103" s="26" t="n">
        <f aca="false">COS(Y103)*SIN(X103)</f>
        <v>0.906451427427058</v>
      </c>
      <c r="AC103" s="26" t="n">
        <f aca="false">SIN(Y103)</f>
        <v>0.033856907424462</v>
      </c>
      <c r="AD103" s="26" t="n">
        <f aca="false">COS($A$4*(23.4393-46.815*M103/3600))*AB103-SIN($A$4*(23.4393-46.815*M103/3600))*AC103</f>
        <v>0.818205608672576</v>
      </c>
      <c r="AE103" s="26" t="n">
        <f aca="false">SIN($A$4*(23.4393-46.815*M103/3600))*AB103+COS($A$4*(23.4393-46.815*M103/3600))*AC103</f>
        <v>0.391586596299771</v>
      </c>
      <c r="AF103" s="26" t="n">
        <f aca="false">SQRT(1-AE103*AE103)</f>
        <v>0.920141259589179</v>
      </c>
      <c r="AG103" s="10" t="n">
        <f aca="false">ATAN(AE103/AF103)/$A$4</f>
        <v>23.0532581371012</v>
      </c>
      <c r="AH103" s="26" t="n">
        <f aca="false">IF(24*ATAN(AD103/(AA103+AF103))/PI()&gt;0,24*ATAN(AD103/(AA103+AF103))/PI(),24*ATAN(AD103/(AA103+AF103))/PI()+24)</f>
        <v>4.18500456962016</v>
      </c>
      <c r="AI103" s="10" t="n">
        <f aca="false">IF(N103-15*AH103&gt;0,N103-15*AH103,360+N103-15*AH103)</f>
        <v>184.380510779578</v>
      </c>
      <c r="AJ103" s="18" t="n">
        <f aca="false">0.950724+0.051818*COS(Q103)+0.009531*COS(2*S103-Q103)+0.007843*COS(2*S103)+0.002824*COS(2*Q103)+0.000857*COS(2*S103+Q103)+0.000533*COS(2*S103-R103)+0.000401*COS(2*S103-R103-Q103)+0.00032*COS(Q103-R103)-0.000271*COS(S103)</f>
        <v>0.923171777205946</v>
      </c>
      <c r="AK103" s="50" t="n">
        <f aca="false">ASIN(COS($A$4*$G$2)*COS($A$4*AG103)*COS($A$4*AI103)+SIN($A$4*$G$2)*SIN($A$4*AG103))/$A$4</f>
        <v>-85.968313241686</v>
      </c>
      <c r="AL103" s="18" t="n">
        <f aca="false">ASIN((0.9983271+0.0016764*COS($A$4*2*$G$2))*COS($A$4*AK103)*SIN($A$4*AJ103))/$A$4</f>
        <v>0.0648707137199366</v>
      </c>
      <c r="AM103" s="18" t="n">
        <f aca="false">AK103-AL103</f>
        <v>-86.0331839554059</v>
      </c>
      <c r="AN103" s="10" t="n">
        <f aca="false"> IF(280.4664567 + 360007.6982779*M103/10 + 0.03032028*M103^2/100 + M103^3/49931000&lt;0,MOD(280.4664567 + 360007.6982779*M103/10 + 0.03032028*M103^2/100 + M103^3/49931000+360,360),MOD(280.4664567 + 360007.6982779*M103/10 + 0.03032028*M103^2/100 + M103^3/49931000,360))</f>
        <v>202.161361780491</v>
      </c>
      <c r="AO103" s="27" t="n">
        <f aca="false"> AN103 + (1.9146 - 0.004817*M103 - 0.000014*M103^2)*SIN(R103)+ (0.019993 - 0.000101*M103)*SIN(2*R103)+ 0.00029*SIN(3*R103)</f>
        <v>200.264732509797</v>
      </c>
      <c r="AP103" s="18" t="n">
        <f aca="false">ACOS(COS(X103-$A$4*AO103)*COS(Y103))/$A$4</f>
        <v>135.141572419276</v>
      </c>
      <c r="AQ103" s="25" t="n">
        <f aca="false">180 - AP103 -0.1468*(1-0.0549*SIN(R103))*SIN($A$4*AP103)/(1-0.0167*SIN($A$4*AO103))</f>
        <v>44.7498915503904</v>
      </c>
      <c r="AR103" s="25" t="n">
        <f aca="false">SIN($A$4*AI103)</f>
        <v>-0.0763798751395148</v>
      </c>
      <c r="AS103" s="25" t="n">
        <f aca="false">COS($A$4*AI103)*SIN($A$4*$G$2) - TAN($A$4*AG103)*COS($A$4*$G$2)</f>
        <v>-0.00215161071656816</v>
      </c>
      <c r="AT103" s="25" t="n">
        <f aca="false">IF(OR(AND(AR103*AS103&gt;0), AND(AR103&lt;0,AS103&gt;0)), MOD(ATAN2(AS103,AR103)/$A$4+360,360),  ATAN2(AS103,AR103)/$A$4)</f>
        <v>268.386412393006</v>
      </c>
      <c r="AU103" s="29" t="n">
        <f aca="false">(1+SIN($A$4*H103)*SIN($A$4*AJ103))*120*ASIN(0.272481*SIN($A$4*AJ103))/$A$4</f>
        <v>29.6992465269193</v>
      </c>
      <c r="AV103" s="10" t="n">
        <f aca="false">COS(X103)</f>
        <v>0.421192206371798</v>
      </c>
      <c r="AW103" s="10" t="n">
        <f aca="false">SIN(X103)</f>
        <v>0.906971402686797</v>
      </c>
      <c r="AX103" s="30" t="n">
        <f aca="false"> 385000.56 + (-20905355*COS(Q103) - 3699111*COS(2*S103-Q103) - 2955968*COS(2*S103) - 569925*COS(2*Q103) + (1-0.002516*M103)*48888*COS(R103) - 3149*COS(2*T103)  +246158*COS(2*S103-2*Q103) -(1-0.002516*M103)*152138*COS(2*S103-R103-Q103) -170733*COS(2*S103+Q103) -(1-0.002516*M103)*204586*COS(2*S103-R103) -(1-0.002516*M103)*129620*COS(R103-Q103)  + 108743*COS(S103) +(1-0.002516*M103)*104755*COS(R103+Q103) +10321*COS(2*S103-2*T103) +79661*COS(Q103-2*T103) -34782*COS(4*S103-Q103) -23210*COS(3*Q103)  -21636*COS(4*S103-2*Q103) +(1-0.002516*M103)*24208*COS(2*S103+R103-Q103) +(1-0.002516*M103)*30824*COS(2*S103+R103) -8379*COS(S103-Q103) -(1-0.002516*M103)*16675*COS(S103+R103)  -(1-0.002516*M103)*12831*COS(2*S103-R103+Q103) -10445*COS(2*S103+2*Q103) -11650*COS(4*S103) +14403*COS(2*S103-3*Q103) -(1-0.002516*M103)*7003*COS(R103-2*Q103)  + (1-0.002516*M103)*10056*COS(2*S103-R103-2*Q103) +6322*COS(S103+Q103) -(1-0.002516*M103)*(1-0.002516*M103)*9884*COS(2*S103-2*R103) +(1-0.002516*M103)*5751*COS(R103+2*Q103) -(1-0.002516*M103)*(1-0.002516*M103)*4950*COS(2*S103-2*R103-Q103)  +4130*COS(2*S103+Q103-2*T103) -(1-0.002516*M103)*3958*COS(4*S103-R103-Q103) +3258*COS(3*S103-Q103) +(1-0.002516*M103)*2616*COS(2*S103+R103+Q103) -(1-0.002516*M103)*1897*COS(4*S103-R103-2*Q103)  -(1-0.002516*M103)*(1-0.002516*M103)*2117*COS(2*R103-Q103) +(1-0.002516*M103)*(1-0.002516*M103)*2354*COS(2*S103+2*R103-Q103) -1423*COS(4*S103+Q103) -1117*COS(4*Q103) -(1-0.002516*M103)*1571*COS(4*S103-R103)  -1739*COS(S103-2*Q103) -4421*COS(2*Q103-2*T103) +(1-0.002516*M103)*(1-0.002516*M103)*1165*COS(2*R103+Q103) +8752*COS(2*S103-Q103-2*T103))/1000</f>
        <v>395805.447754022</v>
      </c>
      <c r="AY103" s="10" t="n">
        <f aca="false">AY102+1/8</f>
        <v>13.625</v>
      </c>
      <c r="AZ103" s="17" t="n">
        <f aca="false">AZ102+1</f>
        <v>102</v>
      </c>
      <c r="BA103" s="32" t="n">
        <f aca="false">ATAN(0.99664719*TAN($A$4*input!$E$2))</f>
        <v>-0.400219206115995</v>
      </c>
      <c r="BB103" s="32" t="n">
        <f aca="false">COS(BA103)</f>
        <v>0.920975608992155</v>
      </c>
      <c r="BC103" s="32" t="n">
        <f aca="false">0.99664719*SIN(BA103)</f>
        <v>-0.388313912533463</v>
      </c>
      <c r="BD103" s="32" t="n">
        <f aca="false">6378.14/AX103</f>
        <v>0.0161143310083083</v>
      </c>
      <c r="BE103" s="33" t="n">
        <f aca="false">MOD(N103-15*AH103,360)</f>
        <v>184.380510779578</v>
      </c>
      <c r="BF103" s="27" t="n">
        <f aca="false">COS($A$4*AG103)*SIN($A$4*BE103)</f>
        <v>-0.0702802745181374</v>
      </c>
      <c r="BG103" s="27" t="n">
        <f aca="false">COS($A$4*AG103)*COS($A$4*BE103)-BB103*BD103</f>
        <v>-0.932294240110514</v>
      </c>
      <c r="BH103" s="27" t="n">
        <f aca="false">SIN($A$4*AG103)-BC103*BD103</f>
        <v>0.397844015221466</v>
      </c>
      <c r="BI103" s="46" t="n">
        <f aca="false">SQRT(BF103^2+BG103^2+BH103^2)</f>
        <v>1.01606679287197</v>
      </c>
      <c r="BJ103" s="35" t="n">
        <f aca="false">AX103*BI103</f>
        <v>402164.771900682</v>
      </c>
    </row>
    <row r="104" customFormat="false" ht="15" hidden="false" customHeight="false" outlineLevel="0" collapsed="false">
      <c r="A104" s="20"/>
      <c r="B104" s="20"/>
      <c r="C104" s="15" t="n">
        <f aca="false">MOD(C103+3,24)</f>
        <v>18</v>
      </c>
      <c r="D104" s="17" t="n">
        <v>13</v>
      </c>
      <c r="E104" s="102" t="n">
        <f aca="false">input!$C$2</f>
        <v>10</v>
      </c>
      <c r="F104" s="102" t="n">
        <f aca="false">input!$D$2</f>
        <v>2022</v>
      </c>
      <c r="G104" s="0"/>
      <c r="H104" s="39" t="n">
        <f aca="false">AM104</f>
        <v>-46.8496669784406</v>
      </c>
      <c r="I104" s="48" t="n">
        <f aca="false">H104+1.02/(TAN($A$4*(H104+10.3/(H104+5.11)))*60)</f>
        <v>-46.8654663247628</v>
      </c>
      <c r="J104" s="39" t="n">
        <f aca="false">100*(1+COS($A$4*AQ104))/2</f>
        <v>84.6269280972795</v>
      </c>
      <c r="K104" s="48" t="n">
        <f aca="false">IF(AI104&gt;180,AT104-180,AT104+180)</f>
        <v>79.5111974166408</v>
      </c>
      <c r="L104" s="10" t="n">
        <f aca="false">L103+1/8</f>
        <v>2459866.25</v>
      </c>
      <c r="M104" s="49" t="n">
        <f aca="false">(L104-2451545)/36525</f>
        <v>0.22782340862423</v>
      </c>
      <c r="N104" s="15" t="n">
        <f aca="false">MOD(280.46061837+360.98564736629*(L104-2451545)+0.000387933*M104^2-M104^3/38710000+$G$4,360)</f>
        <v>292.278785245493</v>
      </c>
      <c r="O104" s="18" t="n">
        <f aca="false">0.60643382+1336.85522467*M104 - 0.00000313*M104^2 - INT(0.60643382+1336.85522467*M104 - 0.00000313*M104^2)</f>
        <v>0.173347778972243</v>
      </c>
      <c r="P104" s="15" t="n">
        <f aca="false">22640*SIN(Q104)-4586*SIN(Q104-2*S104)+2370*SIN(2*S104)+769*SIN(2*Q104)-668*SIN(R104)-412*SIN(2*T104)-212*SIN(2*Q104-2*S104)-206*SIN(Q104+R104-2*S104)+192*SIN(Q104+2*S104)-165*SIN(R104-2*S104)-125*SIN(S104)-110*SIN(Q104+R104)+148*SIN(Q104-R104)-55*SIN(2*T104-2*S104)</f>
        <v>15218.1654071544</v>
      </c>
      <c r="Q104" s="18" t="n">
        <f aca="false">2*PI()*(0.374897+1325.55241*M104 - INT(0.374897+1325.55241*M104))</f>
        <v>2.30445469765302</v>
      </c>
      <c r="R104" s="26" t="n">
        <f aca="false">2*PI()*(0.99312619+99.99735956*M104 - 0.00000044*M104^2 - INT(0.99312619+99.99735956*M104- 0.00000044*M104^2))</f>
        <v>4.86862337098124</v>
      </c>
      <c r="S104" s="26" t="n">
        <f aca="false">2*PI()*(0.827361+1236.853086*M104 - INT(0.827361+1236.853086*M104))</f>
        <v>3.84183493166674</v>
      </c>
      <c r="T104" s="26" t="n">
        <f aca="false">2*PI()*(0.259086+1342.227825*M104 - INT(0.259086+1342.227825*M104))</f>
        <v>0.314185917289211</v>
      </c>
      <c r="U104" s="26" t="n">
        <f aca="false">T104+(P104+412*SIN(2*T104)+541*SIN(R104))/206264.8062</f>
        <v>0.386548916278767</v>
      </c>
      <c r="V104" s="26" t="n">
        <f aca="false">T104-2*S104</f>
        <v>-7.36948394604427</v>
      </c>
      <c r="W104" s="25" t="n">
        <f aca="false">-526*SIN(V104)+44*SIN(Q104+V104)-31*SIN(-Q104+V104)-23*SIN(R104+V104)+11*SIN(-R104+V104)-25*SIN(-2*Q104+T104)+21*SIN(-Q104+T104)</f>
        <v>474.375304909912</v>
      </c>
      <c r="X104" s="26" t="n">
        <f aca="false">2*PI()*(O104+P104/1296000-INT(O104+P104/1296000))</f>
        <v>1.16295596577837</v>
      </c>
      <c r="Y104" s="26" t="n">
        <f aca="false">(18520*SIN(U104)+W104)/206264.8062</f>
        <v>0.036149202451232</v>
      </c>
      <c r="Z104" s="26" t="n">
        <f aca="false">Y104*180/PI()</f>
        <v>2.07119673321956</v>
      </c>
      <c r="AA104" s="26" t="n">
        <f aca="false">COS(Y104)*COS(X104)</f>
        <v>0.396368628698518</v>
      </c>
      <c r="AB104" s="26" t="n">
        <f aca="false">COS(Y104)*SIN(X104)</f>
        <v>0.917379809270989</v>
      </c>
      <c r="AC104" s="26" t="n">
        <f aca="false">SIN(Y104)</f>
        <v>0.0361413298811828</v>
      </c>
      <c r="AD104" s="26" t="n">
        <f aca="false">COS($A$4*(23.4393-46.815*M104/3600))*AB104-SIN($A$4*(23.4393-46.815*M104/3600))*AC104</f>
        <v>0.827323844360377</v>
      </c>
      <c r="AE104" s="26" t="n">
        <f aca="false">SIN($A$4*(23.4393-46.815*M104/3600))*AB104+COS($A$4*(23.4393-46.815*M104/3600))*AC104</f>
        <v>0.398029102876188</v>
      </c>
      <c r="AF104" s="26" t="n">
        <f aca="false">SQRT(1-AE104*AE104)</f>
        <v>0.917372788599911</v>
      </c>
      <c r="AG104" s="10" t="n">
        <f aca="false">ATAN(AE104/AF104)/$A$4</f>
        <v>23.4550258668844</v>
      </c>
      <c r="AH104" s="26" t="n">
        <f aca="false">IF(24*ATAN(AD104/(AA104+AF104))/PI()&gt;0,24*ATAN(AD104/(AA104+AF104))/PI(),24*ATAN(AD104/(AA104+AF104))/PI()+24)</f>
        <v>4.29340295547585</v>
      </c>
      <c r="AI104" s="10" t="n">
        <f aca="false">IF(N104-15*AH104&gt;0,N104-15*AH104,360+N104-15*AH104)</f>
        <v>227.877740913355</v>
      </c>
      <c r="AJ104" s="18" t="n">
        <f aca="false">0.950724+0.051818*COS(Q104)+0.009531*COS(2*S104-Q104)+0.007843*COS(2*S104)+0.002824*COS(2*Q104)+0.000857*COS(2*S104+Q104)+0.000533*COS(2*S104-R104)+0.000401*COS(2*S104-R104-Q104)+0.00032*COS(Q104-R104)-0.000271*COS(S104)</f>
        <v>0.922019159288689</v>
      </c>
      <c r="AK104" s="50" t="n">
        <f aca="false">ASIN(COS($A$4*$G$2)*COS($A$4*AG104)*COS($A$4*AI104)+SIN($A$4*$G$2)*SIN($A$4*AG104))/$A$4</f>
        <v>-46.211975534253</v>
      </c>
      <c r="AL104" s="18" t="n">
        <f aca="false">ASIN((0.9983271+0.0016764*COS($A$4*2*$G$2))*COS($A$4*AK104)*SIN($A$4*AJ104))/$A$4</f>
        <v>0.63769144418759</v>
      </c>
      <c r="AM104" s="18" t="n">
        <f aca="false">AK104-AL104</f>
        <v>-46.8496669784406</v>
      </c>
      <c r="AN104" s="10" t="n">
        <f aca="false"> IF(280.4664567 + 360007.6982779*M104/10 + 0.03032028*M104^2/100 + M104^3/49931000&lt;0,MOD(280.4664567 + 360007.6982779*M104/10 + 0.03032028*M104^2/100 + M104^3/49931000+360,360),MOD(280.4664567 + 360007.6982779*M104/10 + 0.03032028*M104^2/100 + M104^3/49931000,360))</f>
        <v>202.284567700975</v>
      </c>
      <c r="AO104" s="27" t="n">
        <f aca="false"> AN104 + (1.9146 - 0.004817*M104 - 0.000014*M104^2)*SIN(R104)+ (0.019993 - 0.000101*M104)*SIN(2*R104)+ 0.00029*SIN(3*R104)</f>
        <v>200.388491672533</v>
      </c>
      <c r="AP104" s="18" t="n">
        <f aca="false">ACOS(COS(X104-$A$4*AO104)*COS(Y104))/$A$4</f>
        <v>133.720192932942</v>
      </c>
      <c r="AQ104" s="25" t="n">
        <f aca="false">180 - AP104 -0.1468*(1-0.0549*SIN(R104))*SIN($A$4*AP104)/(1-0.0167*SIN($A$4*AO104))</f>
        <v>46.1686045007634</v>
      </c>
      <c r="AR104" s="25" t="n">
        <f aca="false">SIN($A$4*AI104)</f>
        <v>-0.741715328035908</v>
      </c>
      <c r="AS104" s="25" t="n">
        <f aca="false">COS($A$4*AI104)*SIN($A$4*$G$2) - TAN($A$4*AG104)*COS($A$4*$G$2)</f>
        <v>-0.13731888190795</v>
      </c>
      <c r="AT104" s="25" t="n">
        <f aca="false">IF(OR(AND(AR104*AS104&gt;0), AND(AR104&lt;0,AS104&gt;0)), MOD(ATAN2(AS104,AR104)/$A$4+360,360),  ATAN2(AS104,AR104)/$A$4)</f>
        <v>259.511197416641</v>
      </c>
      <c r="AU104" s="29" t="n">
        <f aca="false">(1+SIN($A$4*H104)*SIN($A$4*AJ104))*120*ASIN(0.272481*SIN($A$4*AJ104))/$A$4</f>
        <v>29.7928033250228</v>
      </c>
      <c r="AV104" s="10" t="n">
        <f aca="false">COS(X104)</f>
        <v>0.396627750077876</v>
      </c>
      <c r="AW104" s="10" t="n">
        <f aca="false">SIN(X104)</f>
        <v>0.917979535647806</v>
      </c>
      <c r="AX104" s="30" t="n">
        <f aca="false"> 385000.56 + (-20905355*COS(Q104) - 3699111*COS(2*S104-Q104) - 2955968*COS(2*S104) - 569925*COS(2*Q104) + (1-0.002516*M104)*48888*COS(R104) - 3149*COS(2*T104)  +246158*COS(2*S104-2*Q104) -(1-0.002516*M104)*152138*COS(2*S104-R104-Q104) -170733*COS(2*S104+Q104) -(1-0.002516*M104)*204586*COS(2*S104-R104) -(1-0.002516*M104)*129620*COS(R104-Q104)  + 108743*COS(S104) +(1-0.002516*M104)*104755*COS(R104+Q104) +10321*COS(2*S104-2*T104) +79661*COS(Q104-2*T104) -34782*COS(4*S104-Q104) -23210*COS(3*Q104)  -21636*COS(4*S104-2*Q104) +(1-0.002516*M104)*24208*COS(2*S104+R104-Q104) +(1-0.002516*M104)*30824*COS(2*S104+R104) -8379*COS(S104-Q104) -(1-0.002516*M104)*16675*COS(S104+R104)  -(1-0.002516*M104)*12831*COS(2*S104-R104+Q104) -10445*COS(2*S104+2*Q104) -11650*COS(4*S104) +14403*COS(2*S104-3*Q104) -(1-0.002516*M104)*7003*COS(R104-2*Q104)  + (1-0.002516*M104)*10056*COS(2*S104-R104-2*Q104) +6322*COS(S104+Q104) -(1-0.002516*M104)*(1-0.002516*M104)*9884*COS(2*S104-2*R104) +(1-0.002516*M104)*5751*COS(R104+2*Q104) -(1-0.002516*M104)*(1-0.002516*M104)*4950*COS(2*S104-2*R104-Q104)  +4130*COS(2*S104+Q104-2*T104) -(1-0.002516*M104)*3958*COS(4*S104-R104-Q104) +3258*COS(3*S104-Q104) +(1-0.002516*M104)*2616*COS(2*S104+R104+Q104) -(1-0.002516*M104)*1897*COS(4*S104-R104-2*Q104)  -(1-0.002516*M104)*(1-0.002516*M104)*2117*COS(2*R104-Q104) +(1-0.002516*M104)*(1-0.002516*M104)*2354*COS(2*S104+2*R104-Q104) -1423*COS(4*S104+Q104) -1117*COS(4*Q104) -(1-0.002516*M104)*1571*COS(4*S104-R104)  -1739*COS(S104-2*Q104) -4421*COS(2*Q104-2*T104) +(1-0.002516*M104)*(1-0.002516*M104)*1165*COS(2*R104+Q104) +8752*COS(2*S104-Q104-2*T104))/1000</f>
        <v>396302.19590643</v>
      </c>
      <c r="AY104" s="10" t="n">
        <f aca="false">AY103+1/8</f>
        <v>13.75</v>
      </c>
      <c r="AZ104" s="17" t="n">
        <f aca="false">AZ103+1</f>
        <v>103</v>
      </c>
      <c r="BA104" s="32" t="n">
        <f aca="false">ATAN(0.99664719*TAN($A$4*input!$E$2))</f>
        <v>-0.400219206115995</v>
      </c>
      <c r="BB104" s="32" t="n">
        <f aca="false">COS(BA104)</f>
        <v>0.920975608992155</v>
      </c>
      <c r="BC104" s="32" t="n">
        <f aca="false">0.99664719*SIN(BA104)</f>
        <v>-0.388313912533463</v>
      </c>
      <c r="BD104" s="32" t="n">
        <f aca="false">6378.14/AX104</f>
        <v>0.0160941323714137</v>
      </c>
      <c r="BE104" s="33" t="n">
        <f aca="false">MOD(N104-15*AH104,360)</f>
        <v>227.877740913355</v>
      </c>
      <c r="BF104" s="27" t="n">
        <f aca="false">COS($A$4*AG104)*SIN($A$4*BE104)</f>
        <v>-0.680429458827598</v>
      </c>
      <c r="BG104" s="27" t="n">
        <f aca="false">COS($A$4*AG104)*COS($A$4*BE104)-BB104*BD104</f>
        <v>-0.630117829774401</v>
      </c>
      <c r="BH104" s="27" t="n">
        <f aca="false">SIN($A$4*AG104)-BC104*BD104</f>
        <v>0.404278678386163</v>
      </c>
      <c r="BI104" s="46" t="n">
        <f aca="false">SQRT(BF104^2+BG104^2+BH104^2)</f>
        <v>1.01166890712213</v>
      </c>
      <c r="BJ104" s="35" t="n">
        <f aca="false">AX104*BI104</f>
        <v>400926.609422757</v>
      </c>
    </row>
    <row r="105" customFormat="false" ht="15" hidden="false" customHeight="false" outlineLevel="0" collapsed="false">
      <c r="A105" s="20"/>
      <c r="B105" s="20"/>
      <c r="C105" s="15" t="n">
        <f aca="false">MOD(C104+3,24)</f>
        <v>21</v>
      </c>
      <c r="D105" s="17" t="n">
        <v>13</v>
      </c>
      <c r="E105" s="102" t="n">
        <f aca="false">input!$C$2</f>
        <v>10</v>
      </c>
      <c r="F105" s="102" t="n">
        <f aca="false">input!$D$2</f>
        <v>2022</v>
      </c>
      <c r="G105" s="0"/>
      <c r="H105" s="39" t="n">
        <f aca="false">AM105</f>
        <v>-8.8318295720432</v>
      </c>
      <c r="I105" s="48" t="n">
        <f aca="false">H105+1.02/(TAN($A$4*(H105+10.3/(H105+5.11)))*60)</f>
        <v>-8.91465235656054</v>
      </c>
      <c r="J105" s="39" t="n">
        <f aca="false">100*(1+COS($A$4*AQ105))/2</f>
        <v>83.7258796325962</v>
      </c>
      <c r="K105" s="48" t="n">
        <f aca="false">IF(AI105&gt;180,AT105-180,AT105+180)</f>
        <v>67.403146294018</v>
      </c>
      <c r="L105" s="10" t="n">
        <f aca="false">L104+1/8</f>
        <v>2459866.375</v>
      </c>
      <c r="M105" s="49" t="n">
        <f aca="false">(L105-2451545)/36525</f>
        <v>0.227826830937714</v>
      </c>
      <c r="N105" s="15" t="n">
        <f aca="false">MOD(280.46061837+360.98564736629*(L105-2451545)+0.000387933*M105^2-M105^3/38710000+$G$4,360)</f>
        <v>337.40199116664</v>
      </c>
      <c r="O105" s="18" t="n">
        <f aca="false">0.60643382+1336.85522467*M105 - 0.00000313*M105^2 - INT(0.60643382+1336.85522467*M105 - 0.00000313*M105^2)</f>
        <v>0.177922916628745</v>
      </c>
      <c r="P105" s="15" t="n">
        <f aca="false">22640*SIN(Q105)-4586*SIN(Q105-2*S105)+2370*SIN(2*S105)+769*SIN(2*Q105)-668*SIN(R105)-412*SIN(2*T105)-212*SIN(2*Q105-2*S105)-206*SIN(Q105+R105-2*S105)+192*SIN(Q105+2*S105)-165*SIN(R105-2*S105)-125*SIN(S105)-110*SIN(Q105+R105)+148*SIN(Q105-R105)-55*SIN(2*T105-2*S105)</f>
        <v>14827.0304484461</v>
      </c>
      <c r="Q105" s="18" t="n">
        <f aca="false">2*PI()*(0.374897+1325.55241*M105 - INT(0.374897+1325.55241*M105))</f>
        <v>2.33295809062482</v>
      </c>
      <c r="R105" s="26" t="n">
        <f aca="false">2*PI()*(0.99312619+99.99735956*M105 - 0.00000044*M105^2 - INT(0.99312619+99.99735956*M105- 0.00000044*M105^2))</f>
        <v>4.87077361717933</v>
      </c>
      <c r="S105" s="26" t="n">
        <f aca="false">2*PI()*(0.827361+1236.853086*M105 - INT(0.827361+1236.853086*M105))</f>
        <v>3.86843102043166</v>
      </c>
      <c r="T105" s="26" t="n">
        <f aca="false">2*PI()*(0.259086+1342.227825*M105 - INT(0.259086+1342.227825*M105))</f>
        <v>0.34304788220697</v>
      </c>
      <c r="U105" s="26" t="n">
        <f aca="false">T105+(P105+412*SIN(2*T105)+541*SIN(R105))/206264.8062</f>
        <v>0.413606757289098</v>
      </c>
      <c r="V105" s="26" t="n">
        <f aca="false">T105-2*S105</f>
        <v>-7.39381415865635</v>
      </c>
      <c r="W105" s="25" t="n">
        <f aca="false">-526*SIN(V105)+44*SIN(Q105+V105)-31*SIN(-Q105+V105)-23*SIN(R105+V105)+11*SIN(-R105+V105)-25*SIN(-2*Q105+T105)+21*SIN(-Q105+T105)</f>
        <v>477.716223707742</v>
      </c>
      <c r="X105" s="26" t="n">
        <f aca="false">2*PI()*(O105+P105/1296000-INT(O105+P105/1296000))</f>
        <v>1.18980612768861</v>
      </c>
      <c r="Y105" s="26" t="n">
        <f aca="false">(18520*SIN(U105)+W105)/206264.8062</f>
        <v>0.0384029346887791</v>
      </c>
      <c r="Z105" s="26" t="n">
        <f aca="false">Y105*180/PI()</f>
        <v>2.20032607858359</v>
      </c>
      <c r="AA105" s="26" t="n">
        <f aca="false">COS(Y105)*COS(X105)</f>
        <v>0.371565692018586</v>
      </c>
      <c r="AB105" s="26" t="n">
        <f aca="false">COS(Y105)*SIN(X105)</f>
        <v>0.927612460015932</v>
      </c>
      <c r="AC105" s="26" t="n">
        <f aca="false">SIN(Y105)</f>
        <v>0.0383934960369526</v>
      </c>
      <c r="AD105" s="26" t="n">
        <f aca="false">COS($A$4*(23.4393-46.815*M105/3600))*AB105-SIN($A$4*(23.4393-46.815*M105/3600))*AC105</f>
        <v>0.835816574282341</v>
      </c>
      <c r="AE105" s="26" t="n">
        <f aca="false">SIN($A$4*(23.4393-46.815*M105/3600))*AB105+COS($A$4*(23.4393-46.815*M105/3600))*AC105</f>
        <v>0.404165301169808</v>
      </c>
      <c r="AF105" s="26" t="n">
        <f aca="false">SQRT(1-AE105*AE105)</f>
        <v>0.914685962136907</v>
      </c>
      <c r="AG105" s="10" t="n">
        <f aca="false">ATAN(AE105/AF105)/$A$4</f>
        <v>23.8388311893559</v>
      </c>
      <c r="AH105" s="26" t="n">
        <f aca="false">IF(24*ATAN(AD105/(AA105+AF105))/PI()&gt;0,24*ATAN(AD105/(AA105+AF105))/PI(),24*ATAN(AD105/(AA105+AF105))/PI()+24)</f>
        <v>4.40215095811789</v>
      </c>
      <c r="AI105" s="10" t="n">
        <f aca="false">IF(N105-15*AH105&gt;0,N105-15*AH105,360+N105-15*AH105)</f>
        <v>271.369726794872</v>
      </c>
      <c r="AJ105" s="18" t="n">
        <f aca="false">0.950724+0.051818*COS(Q105)+0.009531*COS(2*S105-Q105)+0.007843*COS(2*S105)+0.002824*COS(2*Q105)+0.000857*COS(2*S105+Q105)+0.000533*COS(2*S105-R105)+0.000401*COS(2*S105-R105-Q105)+0.00032*COS(Q105-R105)-0.000271*COS(S105)</f>
        <v>0.920894333277143</v>
      </c>
      <c r="AK105" s="50" t="n">
        <f aca="false">ASIN(COS($A$4*$G$2)*COS($A$4*AG105)*COS($A$4*AI105)+SIN($A$4*$G$2)*SIN($A$4*AG105))/$A$4</f>
        <v>-7.92018414369385</v>
      </c>
      <c r="AL105" s="18" t="n">
        <f aca="false">ASIN((0.9983271+0.0016764*COS($A$4*2*$G$2))*COS($A$4*AK105)*SIN($A$4*AJ105))/$A$4</f>
        <v>0.911645428349353</v>
      </c>
      <c r="AM105" s="18" t="n">
        <f aca="false">AK105-AL105</f>
        <v>-8.8318295720432</v>
      </c>
      <c r="AN105" s="10" t="n">
        <f aca="false"> IF(280.4664567 + 360007.6982779*M105/10 + 0.03032028*M105^2/100 + M105^3/49931000&lt;0,MOD(280.4664567 + 360007.6982779*M105/10 + 0.03032028*M105^2/100 + M105^3/49931000+360,360),MOD(280.4664567 + 360007.6982779*M105/10 + 0.03032028*M105^2/100 + M105^3/49931000,360))</f>
        <v>202.407773621462</v>
      </c>
      <c r="AO105" s="27" t="n">
        <f aca="false"> AN105 + (1.9146 - 0.004817*M105 - 0.000014*M105^2)*SIN(R105)+ (0.019993 - 0.000101*M105)*SIN(2*R105)+ 0.00029*SIN(3*R105)</f>
        <v>200.512259677459</v>
      </c>
      <c r="AP105" s="18" t="n">
        <f aca="false">ACOS(COS(X105-$A$4*AO105)*COS(Y105))/$A$4</f>
        <v>132.302906722318</v>
      </c>
      <c r="AQ105" s="25" t="n">
        <f aca="false">180 - AP105 -0.1468*(1-0.0549*SIN(R105))*SIN($A$4*AP105)/(1-0.0167*SIN($A$4*AO105))</f>
        <v>47.58330029905</v>
      </c>
      <c r="AR105" s="25" t="n">
        <f aca="false">SIN($A$4*AI105)</f>
        <v>-0.999714259395585</v>
      </c>
      <c r="AS105" s="25" t="n">
        <f aca="false">COS($A$4*AI105)*SIN($A$4*$G$2) - TAN($A$4*AG105)*COS($A$4*$G$2)</f>
        <v>-0.416076473610275</v>
      </c>
      <c r="AT105" s="25" t="n">
        <f aca="false">IF(OR(AND(AR105*AS105&gt;0), AND(AR105&lt;0,AS105&gt;0)), MOD(ATAN2(AS105,AR105)/$A$4+360,360),  ATAN2(AS105,AR105)/$A$4)</f>
        <v>247.403146294018</v>
      </c>
      <c r="AU105" s="29" t="n">
        <f aca="false">(1+SIN($A$4*H105)*SIN($A$4*AJ105))*120*ASIN(0.272481*SIN($A$4*AJ105))/$A$4</f>
        <v>30.0356454917461</v>
      </c>
      <c r="AV105" s="10" t="n">
        <f aca="false">COS(X105)</f>
        <v>0.371839850312215</v>
      </c>
      <c r="AW105" s="10" t="n">
        <f aca="false">SIN(X105)</f>
        <v>0.928296895244075</v>
      </c>
      <c r="AX105" s="30" t="n">
        <f aca="false"> 385000.56 + (-20905355*COS(Q105) - 3699111*COS(2*S105-Q105) - 2955968*COS(2*S105) - 569925*COS(2*Q105) + (1-0.002516*M105)*48888*COS(R105) - 3149*COS(2*T105)  +246158*COS(2*S105-2*Q105) -(1-0.002516*M105)*152138*COS(2*S105-R105-Q105) -170733*COS(2*S105+Q105) -(1-0.002516*M105)*204586*COS(2*S105-R105) -(1-0.002516*M105)*129620*COS(R105-Q105)  + 108743*COS(S105) +(1-0.002516*M105)*104755*COS(R105+Q105) +10321*COS(2*S105-2*T105) +79661*COS(Q105-2*T105) -34782*COS(4*S105-Q105) -23210*COS(3*Q105)  -21636*COS(4*S105-2*Q105) +(1-0.002516*M105)*24208*COS(2*S105+R105-Q105) +(1-0.002516*M105)*30824*COS(2*S105+R105) -8379*COS(S105-Q105) -(1-0.002516*M105)*16675*COS(S105+R105)  -(1-0.002516*M105)*12831*COS(2*S105-R105+Q105) -10445*COS(2*S105+2*Q105) -11650*COS(4*S105) +14403*COS(2*S105-3*Q105) -(1-0.002516*M105)*7003*COS(R105-2*Q105)  + (1-0.002516*M105)*10056*COS(2*S105-R105-2*Q105) +6322*COS(S105+Q105) -(1-0.002516*M105)*(1-0.002516*M105)*9884*COS(2*S105-2*R105) +(1-0.002516*M105)*5751*COS(R105+2*Q105) -(1-0.002516*M105)*(1-0.002516*M105)*4950*COS(2*S105-2*R105-Q105)  +4130*COS(2*S105+Q105-2*T105) -(1-0.002516*M105)*3958*COS(4*S105-R105-Q105) +3258*COS(3*S105-Q105) +(1-0.002516*M105)*2616*COS(2*S105+R105+Q105) -(1-0.002516*M105)*1897*COS(4*S105-R105-2*Q105)  -(1-0.002516*M105)*(1-0.002516*M105)*2117*COS(2*R105-Q105) +(1-0.002516*M105)*(1-0.002516*M105)*2354*COS(2*S105+2*R105-Q105) -1423*COS(4*S105+Q105) -1117*COS(4*Q105) -(1-0.002516*M105)*1571*COS(4*S105-R105)  -1739*COS(S105-2*Q105) -4421*COS(2*Q105-2*T105) +(1-0.002516*M105)*(1-0.002516*M105)*1165*COS(2*R105+Q105) +8752*COS(2*S105-Q105-2*T105))/1000</f>
        <v>396788.988029718</v>
      </c>
      <c r="AY105" s="10" t="n">
        <f aca="false">AY104+1/8</f>
        <v>13.875</v>
      </c>
      <c r="AZ105" s="17" t="n">
        <f aca="false">AZ104+1</f>
        <v>104</v>
      </c>
      <c r="BA105" s="32" t="n">
        <f aca="false">ATAN(0.99664719*TAN($A$4*input!$E$2))</f>
        <v>-0.400219206115995</v>
      </c>
      <c r="BB105" s="32" t="n">
        <f aca="false">COS(BA105)</f>
        <v>0.920975608992155</v>
      </c>
      <c r="BC105" s="32" t="n">
        <f aca="false">0.99664719*SIN(BA105)</f>
        <v>-0.388313912533463</v>
      </c>
      <c r="BD105" s="32" t="n">
        <f aca="false">6378.14/AX105</f>
        <v>0.0160743876277189</v>
      </c>
      <c r="BE105" s="33" t="n">
        <f aca="false">MOD(N105-15*AH105,360)</f>
        <v>271.369726794872</v>
      </c>
      <c r="BF105" s="27" t="n">
        <f aca="false">COS($A$4*AG105)*SIN($A$4*BE105)</f>
        <v>-0.914424599217236</v>
      </c>
      <c r="BG105" s="27" t="n">
        <f aca="false">COS($A$4*AG105)*COS($A$4*BE105)-BB105*BD105</f>
        <v>0.00706050264263649</v>
      </c>
      <c r="BH105" s="27" t="n">
        <f aca="false">SIN($A$4*AG105)-BC105*BD105</f>
        <v>0.410407209521107</v>
      </c>
      <c r="BI105" s="46" t="n">
        <f aca="false">SQRT(BF105^2+BG105^2+BH105^2)</f>
        <v>1.002325434167</v>
      </c>
      <c r="BJ105" s="35" t="n">
        <f aca="false">AX105*BI105</f>
        <v>397711.694699573</v>
      </c>
    </row>
    <row r="106" customFormat="false" ht="15" hidden="false" customHeight="false" outlineLevel="0" collapsed="false">
      <c r="A106" s="20"/>
      <c r="B106" s="20"/>
      <c r="C106" s="15" t="n">
        <f aca="false">MOD(C105+3,24)</f>
        <v>0</v>
      </c>
      <c r="D106" s="36" t="n">
        <v>14</v>
      </c>
      <c r="E106" s="102" t="n">
        <f aca="false">input!$C$2</f>
        <v>10</v>
      </c>
      <c r="F106" s="102" t="n">
        <f aca="false">input!$D$2</f>
        <v>2022</v>
      </c>
      <c r="G106" s="0"/>
      <c r="H106" s="39" t="n">
        <f aca="false">AM106</f>
        <v>24.7647533826311</v>
      </c>
      <c r="I106" s="48" t="n">
        <f aca="false">H106+1.02/(TAN($A$4*(H106+10.3/(H106+5.11)))*60)</f>
        <v>24.8010287948459</v>
      </c>
      <c r="J106" s="39" t="n">
        <f aca="false">100*(1+COS($A$4*AQ106))/2</f>
        <v>82.8068493244599</v>
      </c>
      <c r="K106" s="48" t="n">
        <f aca="false">IF(AI106&gt;180,AT106-180,AT106+180)</f>
        <v>45.7990339579811</v>
      </c>
      <c r="L106" s="10" t="n">
        <f aca="false">L105+1/8</f>
        <v>2459866.5</v>
      </c>
      <c r="M106" s="49" t="n">
        <f aca="false">(L106-2451545)/36525</f>
        <v>0.227830253251198</v>
      </c>
      <c r="N106" s="15" t="n">
        <f aca="false">MOD(280.46061837+360.98564736629*(L106-2451545)+0.000387933*M106^2-M106^3/38710000+$G$4,360)</f>
        <v>22.5251970877871</v>
      </c>
      <c r="O106" s="18" t="n">
        <f aca="false">0.60643382+1336.85522467*M106 - 0.00000313*M106^2 - INT(0.60643382+1336.85522467*M106 - 0.00000313*M106^2)</f>
        <v>0.182498054285361</v>
      </c>
      <c r="P106" s="15" t="n">
        <f aca="false">22640*SIN(Q106)-4586*SIN(Q106-2*S106)+2370*SIN(2*S106)+769*SIN(2*Q106)-668*SIN(R106)-412*SIN(2*T106)-212*SIN(2*Q106-2*S106)-206*SIN(Q106+R106-2*S106)+192*SIN(Q106+2*S106)-165*SIN(R106-2*S106)-125*SIN(S106)-110*SIN(Q106+R106)+148*SIN(Q106-R106)-55*SIN(2*T106-2*S106)</f>
        <v>14422.1291713348</v>
      </c>
      <c r="Q106" s="18" t="n">
        <f aca="false">2*PI()*(0.374897+1325.55241*M106 - INT(0.374897+1325.55241*M106))</f>
        <v>2.36146148359698</v>
      </c>
      <c r="R106" s="26" t="n">
        <f aca="false">2*PI()*(0.99312619+99.99735956*M106 - 0.00000044*M106^2 - INT(0.99312619+99.99735956*M106- 0.00000044*M106^2))</f>
        <v>4.87292386337745</v>
      </c>
      <c r="S106" s="26" t="n">
        <f aca="false">2*PI()*(0.827361+1236.853086*M106 - INT(0.827361+1236.853086*M106))</f>
        <v>3.89502710919658</v>
      </c>
      <c r="T106" s="26" t="n">
        <f aca="false">2*PI()*(0.259086+1342.227825*M106 - INT(0.259086+1342.227825*M106))</f>
        <v>0.37190984712473</v>
      </c>
      <c r="U106" s="26" t="n">
        <f aca="false">T106+(P106+412*SIN(2*T106)+541*SIN(R106))/206264.8062</f>
        <v>0.440593654018876</v>
      </c>
      <c r="V106" s="26" t="n">
        <f aca="false">T106-2*S106</f>
        <v>-7.41814437126844</v>
      </c>
      <c r="W106" s="25" t="n">
        <f aca="false">-526*SIN(V106)+44*SIN(Q106+V106)-31*SIN(-Q106+V106)-23*SIN(R106+V106)+11*SIN(-R106+V106)-25*SIN(-2*Q106+T106)+21*SIN(-Q106+T106)</f>
        <v>480.812653839395</v>
      </c>
      <c r="X106" s="26" t="n">
        <f aca="false">2*PI()*(O106+P106/1296000-INT(O106+P106/1296000))</f>
        <v>1.21658954860456</v>
      </c>
      <c r="Y106" s="26" t="n">
        <f aca="false">(18520*SIN(U106)+W106)/206264.8062</f>
        <v>0.0406233015599125</v>
      </c>
      <c r="Z106" s="26" t="n">
        <f aca="false">Y106*180/PI()</f>
        <v>2.3275437292702</v>
      </c>
      <c r="AA106" s="26" t="n">
        <f aca="false">COS(Y106)*COS(X106)</f>
        <v>0.346560341502644</v>
      </c>
      <c r="AB106" s="26" t="n">
        <f aca="false">COS(Y106)*SIN(X106)</f>
        <v>0.937148112438017</v>
      </c>
      <c r="AC106" s="26" t="n">
        <f aca="false">SIN(Y106)</f>
        <v>0.0406121293634291</v>
      </c>
      <c r="AD106" s="26" t="n">
        <f aca="false">COS($A$4*(23.4393-46.815*M106/3600))*AB106-SIN($A$4*(23.4393-46.815*M106/3600))*AC106</f>
        <v>0.84368314347003</v>
      </c>
      <c r="AE106" s="26" t="n">
        <f aca="false">SIN($A$4*(23.4393-46.815*M106/3600))*AB106+COS($A$4*(23.4393-46.815*M106/3600))*AC106</f>
        <v>0.409993515951289</v>
      </c>
      <c r="AF106" s="26" t="n">
        <f aca="false">SQRT(1-AE106*AE106)</f>
        <v>0.912088436982895</v>
      </c>
      <c r="AG106" s="10" t="n">
        <f aca="false">ATAN(AE106/AF106)/$A$4</f>
        <v>24.2044274843563</v>
      </c>
      <c r="AH106" s="26" t="n">
        <f aca="false">IF(24*ATAN(AD106/(AA106+AF106))/PI()&gt;0,24*ATAN(AD106/(AA106+AF106))/PI(),24*ATAN(AD106/(AA106+AF106))/PI()+24)</f>
        <v>4.51123842704719</v>
      </c>
      <c r="AI106" s="10" t="n">
        <f aca="false">IF(N106-15*AH106&gt;0,N106-15*AH106,360+N106-15*AH106)</f>
        <v>314.856620682079</v>
      </c>
      <c r="AJ106" s="18" t="n">
        <f aca="false">0.950724+0.051818*COS(Q106)+0.009531*COS(2*S106-Q106)+0.007843*COS(2*S106)+0.002824*COS(2*Q106)+0.000857*COS(2*S106+Q106)+0.000533*COS(2*S106-R106)+0.000401*COS(2*S106-R106-Q106)+0.00032*COS(Q106-R106)-0.000271*COS(S106)</f>
        <v>0.91979847165172</v>
      </c>
      <c r="AK106" s="50" t="n">
        <f aca="false">ASIN(COS($A$4*$G$2)*COS($A$4*AG106)*COS($A$4*AI106)+SIN($A$4*$G$2)*SIN($A$4*AG106))/$A$4</f>
        <v>25.5938716700253</v>
      </c>
      <c r="AL106" s="18" t="n">
        <f aca="false">ASIN((0.9983271+0.0016764*COS($A$4*2*$G$2))*COS($A$4*AK106)*SIN($A$4*AJ106))/$A$4</f>
        <v>0.829118287394205</v>
      </c>
      <c r="AM106" s="18" t="n">
        <f aca="false">AK106-AL106</f>
        <v>24.7647533826311</v>
      </c>
      <c r="AN106" s="10" t="n">
        <f aca="false"> IF(280.4664567 + 360007.6982779*M106/10 + 0.03032028*M106^2/100 + M106^3/49931000&lt;0,MOD(280.4664567 + 360007.6982779*M106/10 + 0.03032028*M106^2/100 + M106^3/49931000+360,360),MOD(280.4664567 + 360007.6982779*M106/10 + 0.03032028*M106^2/100 + M106^3/49931000,360))</f>
        <v>202.530979541949</v>
      </c>
      <c r="AO106" s="27" t="n">
        <f aca="false"> AN106 + (1.9146 - 0.004817*M106 - 0.000014*M106^2)*SIN(R106)+ (0.019993 - 0.000101*M106)*SIN(2*R106)+ 0.00029*SIN(3*R106)</f>
        <v>200.63603652314</v>
      </c>
      <c r="AP106" s="18" t="n">
        <f aca="false">ACOS(COS(X106-$A$4*AO106)*COS(Y106))/$A$4</f>
        <v>130.889612152095</v>
      </c>
      <c r="AQ106" s="25" t="n">
        <f aca="false">180 - AP106 -0.1468*(1-0.0549*SIN(R106))*SIN($A$4*AP106)/(1-0.0167*SIN($A$4*AO106))</f>
        <v>48.994081383972</v>
      </c>
      <c r="AR106" s="25" t="n">
        <f aca="false">SIN($A$4*AI106)</f>
        <v>-0.708874058440413</v>
      </c>
      <c r="AS106" s="25" t="n">
        <f aca="false">COS($A$4*AI106)*SIN($A$4*$G$2) - TAN($A$4*AG106)*COS($A$4*$G$2)</f>
        <v>-0.689373155411238</v>
      </c>
      <c r="AT106" s="25" t="n">
        <f aca="false">IF(OR(AND(AR106*AS106&gt;0), AND(AR106&lt;0,AS106&gt;0)), MOD(ATAN2(AS106,AR106)/$A$4+360,360),  ATAN2(AS106,AR106)/$A$4)</f>
        <v>225.799033957981</v>
      </c>
      <c r="AU106" s="29" t="n">
        <f aca="false">(1+SIN($A$4*H106)*SIN($A$4*AJ106))*120*ASIN(0.272481*SIN($A$4*AJ106))/$A$4</f>
        <v>30.2763481010461</v>
      </c>
      <c r="AV106" s="10" t="n">
        <f aca="false">COS(X106)</f>
        <v>0.346846494317023</v>
      </c>
      <c r="AW106" s="10" t="n">
        <f aca="false">SIN(X106)</f>
        <v>0.937921910065007</v>
      </c>
      <c r="AX106" s="30" t="n">
        <f aca="false"> 385000.56 + (-20905355*COS(Q106) - 3699111*COS(2*S106-Q106) - 2955968*COS(2*S106) - 569925*COS(2*Q106) + (1-0.002516*M106)*48888*COS(R106) - 3149*COS(2*T106)  +246158*COS(2*S106-2*Q106) -(1-0.002516*M106)*152138*COS(2*S106-R106-Q106) -170733*COS(2*S106+Q106) -(1-0.002516*M106)*204586*COS(2*S106-R106) -(1-0.002516*M106)*129620*COS(R106-Q106)  + 108743*COS(S106) +(1-0.002516*M106)*104755*COS(R106+Q106) +10321*COS(2*S106-2*T106) +79661*COS(Q106-2*T106) -34782*COS(4*S106-Q106) -23210*COS(3*Q106)  -21636*COS(4*S106-2*Q106) +(1-0.002516*M106)*24208*COS(2*S106+R106-Q106) +(1-0.002516*M106)*30824*COS(2*S106+R106) -8379*COS(S106-Q106) -(1-0.002516*M106)*16675*COS(S106+R106)  -(1-0.002516*M106)*12831*COS(2*S106-R106+Q106) -10445*COS(2*S106+2*Q106) -11650*COS(4*S106) +14403*COS(2*S106-3*Q106) -(1-0.002516*M106)*7003*COS(R106-2*Q106)  + (1-0.002516*M106)*10056*COS(2*S106-R106-2*Q106) +6322*COS(S106+Q106) -(1-0.002516*M106)*(1-0.002516*M106)*9884*COS(2*S106-2*R106) +(1-0.002516*M106)*5751*COS(R106+2*Q106) -(1-0.002516*M106)*(1-0.002516*M106)*4950*COS(2*S106-2*R106-Q106)  +4130*COS(2*S106+Q106-2*T106) -(1-0.002516*M106)*3958*COS(4*S106-R106-Q106) +3258*COS(3*S106-Q106) +(1-0.002516*M106)*2616*COS(2*S106+R106+Q106) -(1-0.002516*M106)*1897*COS(4*S106-R106-2*Q106)  -(1-0.002516*M106)*(1-0.002516*M106)*2117*COS(2*R106-Q106) +(1-0.002516*M106)*(1-0.002516*M106)*2354*COS(2*S106+2*R106-Q106) -1423*COS(4*S106+Q106) -1117*COS(4*Q106) -(1-0.002516*M106)*1571*COS(4*S106-R106)  -1739*COS(S106-2*Q106) -4421*COS(2*Q106-2*T106) +(1-0.002516*M106)*(1-0.002516*M106)*1165*COS(2*R106+Q106) +8752*COS(2*S106-Q106-2*T106))/1000</f>
        <v>397265.216243692</v>
      </c>
      <c r="AY106" s="10" t="n">
        <f aca="false">AY105+1/8</f>
        <v>14</v>
      </c>
      <c r="AZ106" s="17" t="n">
        <f aca="false">AZ105+1</f>
        <v>105</v>
      </c>
      <c r="BA106" s="32" t="n">
        <f aca="false">ATAN(0.99664719*TAN($A$4*input!$E$2))</f>
        <v>-0.400219206115995</v>
      </c>
      <c r="BB106" s="32" t="n">
        <f aca="false">COS(BA106)</f>
        <v>0.920975608992155</v>
      </c>
      <c r="BC106" s="32" t="n">
        <f aca="false">0.99664719*SIN(BA106)</f>
        <v>-0.388313912533463</v>
      </c>
      <c r="BD106" s="32" t="n">
        <f aca="false">6378.14/AX106</f>
        <v>0.0160551181910865</v>
      </c>
      <c r="BE106" s="33" t="n">
        <f aca="false">MOD(N106-15*AH106,360)</f>
        <v>314.856620682079</v>
      </c>
      <c r="BF106" s="27" t="n">
        <f aca="false">COS($A$4*AG106)*SIN($A$4*BE106)</f>
        <v>-0.646555831980638</v>
      </c>
      <c r="BG106" s="27" t="n">
        <f aca="false">COS($A$4*AG106)*COS($A$4*BE106)-BB106*BD106</f>
        <v>0.628541594657434</v>
      </c>
      <c r="BH106" s="27" t="n">
        <f aca="false">SIN($A$4*AG106)-BC106*BD106</f>
        <v>0.416227941712257</v>
      </c>
      <c r="BI106" s="46" t="n">
        <f aca="false">SQRT(BF106^2+BG106^2+BH106^2)</f>
        <v>0.993148870786604</v>
      </c>
      <c r="BJ106" s="35" t="n">
        <f aca="false">AX106*BI106</f>
        <v>394543.500915219</v>
      </c>
    </row>
    <row r="107" customFormat="false" ht="15" hidden="false" customHeight="false" outlineLevel="0" collapsed="false">
      <c r="A107" s="20"/>
      <c r="B107" s="20"/>
      <c r="C107" s="15" t="n">
        <f aca="false">MOD(C106+3,24)</f>
        <v>3</v>
      </c>
      <c r="D107" s="105" t="n">
        <v>14</v>
      </c>
      <c r="E107" s="102" t="n">
        <f aca="false">input!$C$2</f>
        <v>10</v>
      </c>
      <c r="F107" s="102" t="n">
        <f aca="false">input!$D$2</f>
        <v>2022</v>
      </c>
      <c r="G107" s="0"/>
      <c r="H107" s="39" t="n">
        <f aca="false">AM107</f>
        <v>41.7432374291857</v>
      </c>
      <c r="I107" s="48" t="n">
        <f aca="false">H107+1.02/(TAN($A$4*(H107+10.3/(H107+5.11)))*60)</f>
        <v>41.7621423304059</v>
      </c>
      <c r="J107" s="39" t="n">
        <f aca="false">100*(1+COS($A$4*AQ107))/2</f>
        <v>81.8704895894679</v>
      </c>
      <c r="K107" s="48" t="n">
        <f aca="false">IF(AI107&gt;180,AT107-180,AT107+180)</f>
        <v>2.04725519724209</v>
      </c>
      <c r="L107" s="10" t="n">
        <f aca="false">L106+1/8</f>
        <v>2459866.625</v>
      </c>
      <c r="M107" s="49" t="n">
        <f aca="false">(L107-2451545)/36525</f>
        <v>0.227833675564682</v>
      </c>
      <c r="N107" s="15" t="n">
        <f aca="false">MOD(280.46061837+360.98564736629*(L107-2451545)+0.000387933*M107^2-M107^3/38710000+$G$4,360)</f>
        <v>67.6484030098654</v>
      </c>
      <c r="O107" s="18" t="n">
        <f aca="false">0.60643382+1336.85522467*M107 - 0.00000313*M107^2 - INT(0.60643382+1336.85522467*M107 - 0.00000313*M107^2)</f>
        <v>0.18707319194192</v>
      </c>
      <c r="P107" s="15" t="n">
        <f aca="false">22640*SIN(Q107)-4586*SIN(Q107-2*S107)+2370*SIN(2*S107)+769*SIN(2*Q107)-668*SIN(R107)-412*SIN(2*T107)-212*SIN(2*Q107-2*S107)-206*SIN(Q107+R107-2*S107)+192*SIN(Q107+2*S107)-165*SIN(R107-2*S107)-125*SIN(S107)-110*SIN(Q107+R107)+148*SIN(Q107-R107)-55*SIN(2*T107-2*S107)</f>
        <v>14003.9169223924</v>
      </c>
      <c r="Q107" s="18" t="n">
        <f aca="false">2*PI()*(0.374897+1325.55241*M107 - INT(0.374897+1325.55241*M107))</f>
        <v>2.38996487656877</v>
      </c>
      <c r="R107" s="26" t="n">
        <f aca="false">2*PI()*(0.99312619+99.99735956*M107 - 0.00000044*M107^2 - INT(0.99312619+99.99735956*M107- 0.00000044*M107^2))</f>
        <v>4.87507410957553</v>
      </c>
      <c r="S107" s="26" t="n">
        <f aca="false">2*PI()*(0.827361+1236.853086*M107 - INT(0.827361+1236.853086*M107))</f>
        <v>3.92162319796151</v>
      </c>
      <c r="T107" s="26" t="n">
        <f aca="false">2*PI()*(0.259086+1342.227825*M107 - INT(0.259086+1342.227825*M107))</f>
        <v>0.400771812042132</v>
      </c>
      <c r="U107" s="26" t="n">
        <f aca="false">T107+(P107+412*SIN(2*T107)+541*SIN(R107))/206264.8062</f>
        <v>0.467511524061179</v>
      </c>
      <c r="V107" s="26" t="n">
        <f aca="false">T107-2*S107</f>
        <v>-7.44247458388088</v>
      </c>
      <c r="W107" s="25" t="n">
        <f aca="false">-526*SIN(V107)+44*SIN(Q107+V107)-31*SIN(-Q107+V107)-23*SIN(R107+V107)+11*SIN(-R107+V107)-25*SIN(-2*Q107+T107)+21*SIN(-Q107+T107)</f>
        <v>483.666245132686</v>
      </c>
      <c r="X107" s="26" t="n">
        <f aca="false">2*PI()*(O107+P107/1296000-INT(O107+P107/1296000))</f>
        <v>1.24330843610763</v>
      </c>
      <c r="Y107" s="26" t="n">
        <f aca="false">(18520*SIN(U107)+W107)/206264.8062</f>
        <v>0.0428090722673768</v>
      </c>
      <c r="Z107" s="26" t="n">
        <f aca="false">Y107*180/PI()</f>
        <v>2.45277916579123</v>
      </c>
      <c r="AA107" s="26" t="n">
        <f aca="false">COS(Y107)*COS(X107)</f>
        <v>0.321370746926053</v>
      </c>
      <c r="AB107" s="26" t="n">
        <f aca="false">COS(Y107)*SIN(X107)</f>
        <v>0.945985911931517</v>
      </c>
      <c r="AC107" s="26" t="n">
        <f aca="false">SIN(Y107)</f>
        <v>0.0427959980288717</v>
      </c>
      <c r="AD107" s="26" t="n">
        <f aca="false">COS($A$4*(23.4393-46.815*M107/3600))*AB107-SIN($A$4*(23.4393-46.815*M107/3600))*AC107</f>
        <v>0.850923257756036</v>
      </c>
      <c r="AE107" s="26" t="n">
        <f aca="false">SIN($A$4*(23.4393-46.815*M107/3600))*AB107+COS($A$4*(23.4393-46.815*M107/3600))*AC107</f>
        <v>0.415512277111093</v>
      </c>
      <c r="AF107" s="26" t="n">
        <f aca="false">SQRT(1-AE107*AE107)</f>
        <v>0.909587570039276</v>
      </c>
      <c r="AG107" s="10" t="n">
        <f aca="false">ATAN(AE107/AF107)/$A$4</f>
        <v>24.551581153871</v>
      </c>
      <c r="AH107" s="26" t="n">
        <f aca="false">IF(24*ATAN(AD107/(AA107+AF107))/PI()&gt;0,24*ATAN(AD107/(AA107+AF107))/PI(),24*ATAN(AD107/(AA107+AF107))/PI()+24)</f>
        <v>4.62065350462318</v>
      </c>
      <c r="AI107" s="10" t="n">
        <f aca="false">IF(N107-15*AH107&gt;0,N107-15*AH107,360+N107-15*AH107)</f>
        <v>358.338600440518</v>
      </c>
      <c r="AJ107" s="18" t="n">
        <f aca="false">0.950724+0.051818*COS(Q107)+0.009531*COS(2*S107-Q107)+0.007843*COS(2*S107)+0.002824*COS(2*Q107)+0.000857*COS(2*S107+Q107)+0.000533*COS(2*S107-R107)+0.000401*COS(2*S107-R107-Q107)+0.00032*COS(Q107-R107)-0.000271*COS(S107)</f>
        <v>0.918732697598906</v>
      </c>
      <c r="AK107" s="50" t="n">
        <f aca="false">ASIN(COS($A$4*$G$2)*COS($A$4*AG107)*COS($A$4*AI107)+SIN($A$4*$G$2)*SIN($A$4*AG107))/$A$4</f>
        <v>42.4210943475426</v>
      </c>
      <c r="AL107" s="18" t="n">
        <f aca="false">ASIN((0.9983271+0.0016764*COS($A$4*2*$G$2))*COS($A$4*AK107)*SIN($A$4*AJ107))/$A$4</f>
        <v>0.677856918356874</v>
      </c>
      <c r="AM107" s="18" t="n">
        <f aca="false">AK107-AL107</f>
        <v>41.7432374291857</v>
      </c>
      <c r="AN107" s="10" t="n">
        <f aca="false"> IF(280.4664567 + 360007.6982779*M107/10 + 0.03032028*M107^2/100 + M107^3/49931000&lt;0,MOD(280.4664567 + 360007.6982779*M107/10 + 0.03032028*M107^2/100 + M107^3/49931000+360,360),MOD(280.4664567 + 360007.6982779*M107/10 + 0.03032028*M107^2/100 + M107^3/49931000,360))</f>
        <v>202.654185462432</v>
      </c>
      <c r="AO107" s="27" t="n">
        <f aca="false"> AN107 + (1.9146 - 0.004817*M107 - 0.000014*M107^2)*SIN(R107)+ (0.019993 - 0.000101*M107)*SIN(2*R107)+ 0.00029*SIN(3*R107)</f>
        <v>200.759822208093</v>
      </c>
      <c r="AP107" s="18" t="n">
        <f aca="false">ACOS(COS(X107-$A$4*AO107)*COS(Y107))/$A$4</f>
        <v>129.480201964329</v>
      </c>
      <c r="AQ107" s="25" t="n">
        <f aca="false">180 - AP107 -0.1468*(1-0.0549*SIN(R107))*SIN($A$4*AP107)/(1-0.0167*SIN($A$4*AO107))</f>
        <v>50.4010557598521</v>
      </c>
      <c r="AR107" s="25" t="n">
        <f aca="false">SIN($A$4*AI107)</f>
        <v>-0.0289928291482092</v>
      </c>
      <c r="AS107" s="25" t="n">
        <f aca="false">COS($A$4*AI107)*SIN($A$4*$G$2) - TAN($A$4*AG107)*COS($A$4*$G$2)</f>
        <v>-0.811066317075871</v>
      </c>
      <c r="AT107" s="25" t="n">
        <f aca="false">IF(OR(AND(AR107*AS107&gt;0), AND(AR107&lt;0,AS107&gt;0)), MOD(ATAN2(AS107,AR107)/$A$4+360,360),  ATAN2(AS107,AR107)/$A$4)</f>
        <v>182.047255197242</v>
      </c>
      <c r="AU107" s="29" t="n">
        <f aca="false">(1+SIN($A$4*H107)*SIN($A$4*AJ107))*120*ASIN(0.272481*SIN($A$4*AJ107))/$A$4</f>
        <v>30.3599565161689</v>
      </c>
      <c r="AV107" s="10" t="n">
        <f aca="false">COS(X107)</f>
        <v>0.321665446645545</v>
      </c>
      <c r="AW107" s="10" t="n">
        <f aca="false">SIN(X107)</f>
        <v>0.946853389091639</v>
      </c>
      <c r="AX107" s="30" t="n">
        <f aca="false"> 385000.56 + (-20905355*COS(Q107) - 3699111*COS(2*S107-Q107) - 2955968*COS(2*S107) - 569925*COS(2*Q107) + (1-0.002516*M107)*48888*COS(R107) - 3149*COS(2*T107)  +246158*COS(2*S107-2*Q107) -(1-0.002516*M107)*152138*COS(2*S107-R107-Q107) -170733*COS(2*S107+Q107) -(1-0.002516*M107)*204586*COS(2*S107-R107) -(1-0.002516*M107)*129620*COS(R107-Q107)  + 108743*COS(S107) +(1-0.002516*M107)*104755*COS(R107+Q107) +10321*COS(2*S107-2*T107) +79661*COS(Q107-2*T107) -34782*COS(4*S107-Q107) -23210*COS(3*Q107)  -21636*COS(4*S107-2*Q107) +(1-0.002516*M107)*24208*COS(2*S107+R107-Q107) +(1-0.002516*M107)*30824*COS(2*S107+R107) -8379*COS(S107-Q107) -(1-0.002516*M107)*16675*COS(S107+R107)  -(1-0.002516*M107)*12831*COS(2*S107-R107+Q107) -10445*COS(2*S107+2*Q107) -11650*COS(4*S107) +14403*COS(2*S107-3*Q107) -(1-0.002516*M107)*7003*COS(R107-2*Q107)  + (1-0.002516*M107)*10056*COS(2*S107-R107-2*Q107) +6322*COS(S107+Q107) -(1-0.002516*M107)*(1-0.002516*M107)*9884*COS(2*S107-2*R107) +(1-0.002516*M107)*5751*COS(R107+2*Q107) -(1-0.002516*M107)*(1-0.002516*M107)*4950*COS(2*S107-2*R107-Q107)  +4130*COS(2*S107+Q107-2*T107) -(1-0.002516*M107)*3958*COS(4*S107-R107-Q107) +3258*COS(3*S107-Q107) +(1-0.002516*M107)*2616*COS(2*S107+R107+Q107) -(1-0.002516*M107)*1897*COS(4*S107-R107-2*Q107)  -(1-0.002516*M107)*(1-0.002516*M107)*2117*COS(2*R107-Q107) +(1-0.002516*M107)*(1-0.002516*M107)*2354*COS(2*S107+2*R107-Q107) -1423*COS(4*S107+Q107) -1117*COS(4*Q107) -(1-0.002516*M107)*1571*COS(4*S107-R107)  -1739*COS(S107-2*Q107) -4421*COS(2*Q107-2*T107) +(1-0.002516*M107)*(1-0.002516*M107)*1165*COS(2*R107+Q107) +8752*COS(2*S107-Q107-2*T107))/1000</f>
        <v>397730.284146653</v>
      </c>
      <c r="AY107" s="10" t="n">
        <f aca="false">AY106+1/8</f>
        <v>14.125</v>
      </c>
      <c r="AZ107" s="17" t="n">
        <f aca="false">AZ106+1</f>
        <v>106</v>
      </c>
      <c r="BA107" s="32" t="n">
        <f aca="false">ATAN(0.99664719*TAN($A$4*input!$E$2))</f>
        <v>-0.400219206115995</v>
      </c>
      <c r="BB107" s="32" t="n">
        <f aca="false">COS(BA107)</f>
        <v>0.920975608992155</v>
      </c>
      <c r="BC107" s="32" t="n">
        <f aca="false">0.99664719*SIN(BA107)</f>
        <v>-0.388313912533463</v>
      </c>
      <c r="BD107" s="32" t="n">
        <f aca="false">6378.14/AX107</f>
        <v>0.016036344865427</v>
      </c>
      <c r="BE107" s="33" t="n">
        <f aca="false">MOD(N107-15*AH107,360)</f>
        <v>358.338600440518</v>
      </c>
      <c r="BF107" s="27" t="n">
        <f aca="false">COS($A$4*AG107)*SIN($A$4*BE107)</f>
        <v>-0.0263715170134835</v>
      </c>
      <c r="BG107" s="27" t="n">
        <f aca="false">COS($A$4*AG107)*COS($A$4*BE107)-BB107*BD107</f>
        <v>0.894436114746231</v>
      </c>
      <c r="BH107" s="27" t="n">
        <f aca="false">SIN($A$4*AG107)-BC107*BD107</f>
        <v>0.421739412928523</v>
      </c>
      <c r="BI107" s="46" t="n">
        <f aca="false">SQRT(BF107^2+BG107^2+BH107^2)</f>
        <v>0.989229777498242</v>
      </c>
      <c r="BJ107" s="35" t="n">
        <f aca="false">AX107*BI107</f>
        <v>393446.640490706</v>
      </c>
    </row>
    <row r="108" customFormat="false" ht="15" hidden="false" customHeight="false" outlineLevel="0" collapsed="false">
      <c r="A108" s="20"/>
      <c r="B108" s="20"/>
      <c r="C108" s="15" t="n">
        <f aca="false">MOD(C107+3,24)</f>
        <v>6</v>
      </c>
      <c r="D108" s="105" t="n">
        <v>14</v>
      </c>
      <c r="E108" s="102" t="n">
        <f aca="false">input!$C$2</f>
        <v>10</v>
      </c>
      <c r="F108" s="102" t="n">
        <f aca="false">input!$D$2</f>
        <v>2022</v>
      </c>
      <c r="G108" s="0"/>
      <c r="H108" s="39" t="n">
        <f aca="false">AM108</f>
        <v>26.4417390464893</v>
      </c>
      <c r="I108" s="48" t="n">
        <f aca="false">H108+1.02/(TAN($A$4*(H108+10.3/(H108+5.11)))*60)</f>
        <v>26.475439809032</v>
      </c>
      <c r="J108" s="39" t="n">
        <f aca="false">100*(1+COS($A$4*AQ108))/2</f>
        <v>80.9174457224715</v>
      </c>
      <c r="K108" s="48" t="n">
        <f aca="false">IF(AI108&gt;180,AT108-180,AT108+180)</f>
        <v>317.124162047515</v>
      </c>
      <c r="L108" s="10" t="n">
        <f aca="false">L107+1/8</f>
        <v>2459866.75</v>
      </c>
      <c r="M108" s="49" t="n">
        <f aca="false">(L108-2451545)/36525</f>
        <v>0.227837097878166</v>
      </c>
      <c r="N108" s="15" t="n">
        <f aca="false">MOD(280.46061837+360.98564736629*(L108-2451545)+0.000387933*M108^2-M108^3/38710000+$G$4,360)</f>
        <v>112.771608931012</v>
      </c>
      <c r="O108" s="18" t="n">
        <f aca="false">0.60643382+1336.85522467*M108 - 0.00000313*M108^2 - INT(0.60643382+1336.85522467*M108 - 0.00000313*M108^2)</f>
        <v>0.191648329598479</v>
      </c>
      <c r="P108" s="15" t="n">
        <f aca="false">22640*SIN(Q108)-4586*SIN(Q108-2*S108)+2370*SIN(2*S108)+769*SIN(2*Q108)-668*SIN(R108)-412*SIN(2*T108)-212*SIN(2*Q108-2*S108)-206*SIN(Q108+R108-2*S108)+192*SIN(Q108+2*S108)-165*SIN(R108-2*S108)-125*SIN(S108)-110*SIN(Q108+R108)+148*SIN(Q108-R108)-55*SIN(2*T108-2*S108)</f>
        <v>13572.8605087176</v>
      </c>
      <c r="Q108" s="18" t="n">
        <f aca="false">2*PI()*(0.374897+1325.55241*M108 - INT(0.374897+1325.55241*M108))</f>
        <v>2.41846826954093</v>
      </c>
      <c r="R108" s="26" t="n">
        <f aca="false">2*PI()*(0.99312619+99.99735956*M108 - 0.00000044*M108^2 - INT(0.99312619+99.99735956*M108- 0.00000044*M108^2))</f>
        <v>4.87722435577364</v>
      </c>
      <c r="S108" s="26" t="n">
        <f aca="false">2*PI()*(0.827361+1236.853086*M108 - INT(0.827361+1236.853086*M108))</f>
        <v>3.94821928672607</v>
      </c>
      <c r="T108" s="26" t="n">
        <f aca="false">2*PI()*(0.259086+1342.227825*M108 - INT(0.259086+1342.227825*M108))</f>
        <v>0.429633776959891</v>
      </c>
      <c r="U108" s="26" t="n">
        <f aca="false">T108+(P108+412*SIN(2*T108)+541*SIN(R108))/206264.8062</f>
        <v>0.494362355579853</v>
      </c>
      <c r="V108" s="26" t="n">
        <f aca="false">T108-2*S108</f>
        <v>-7.46680479649225</v>
      </c>
      <c r="W108" s="25" t="n">
        <f aca="false">-526*SIN(V108)+44*SIN(Q108+V108)-31*SIN(-Q108+V108)-23*SIN(R108+V108)+11*SIN(-R108+V108)-25*SIN(-2*Q108+T108)+21*SIN(-Q108+T108)</f>
        <v>486.278720542163</v>
      </c>
      <c r="X108" s="26" t="n">
        <f aca="false">2*PI()*(O108+P108/1296000-INT(O108+P108/1296000))</f>
        <v>1.26996505334285</v>
      </c>
      <c r="Y108" s="26" t="n">
        <f aca="false">(18520*SIN(U108)+W108)/206264.8062</f>
        <v>0.0449590581201466</v>
      </c>
      <c r="Z108" s="26" t="n">
        <f aca="false">Y108*180/PI()</f>
        <v>2.57596428116777</v>
      </c>
      <c r="AA108" s="26" t="n">
        <f aca="false">COS(Y108)*COS(X108)</f>
        <v>0.296014828265215</v>
      </c>
      <c r="AB108" s="26" t="n">
        <f aca="false">COS(Y108)*SIN(X108)</f>
        <v>0.95412539326884</v>
      </c>
      <c r="AC108" s="26" t="n">
        <f aca="false">SIN(Y108)</f>
        <v>0.0449439135667742</v>
      </c>
      <c r="AD108" s="26" t="n">
        <f aca="false">COS($A$4*(23.4393-46.815*M108/3600))*AB108-SIN($A$4*(23.4393-46.815*M108/3600))*AC108</f>
        <v>0.857536962980737</v>
      </c>
      <c r="AE108" s="26" t="n">
        <f aca="false">SIN($A$4*(23.4393-46.815*M108/3600))*AB108+COS($A$4*(23.4393-46.815*M108/3600))*AC108</f>
        <v>0.420720309194706</v>
      </c>
      <c r="AF108" s="26" t="n">
        <f aca="false">SQRT(1-AE108*AE108)</f>
        <v>0.907190399767938</v>
      </c>
      <c r="AG108" s="10" t="n">
        <f aca="false">ATAN(AE108/AF108)/$A$4</f>
        <v>24.8800719717397</v>
      </c>
      <c r="AH108" s="26" t="n">
        <f aca="false">IF(24*ATAN(AD108/(AA108+AF108))/PI()&gt;0,24*ATAN(AD108/(AA108+AF108))/PI(),24*ATAN(AD108/(AA108+AF108))/PI()+24)</f>
        <v>4.73038265185834</v>
      </c>
      <c r="AI108" s="10" t="n">
        <f aca="false">IF(N108-15*AH108&gt;0,N108-15*AH108,360+N108-15*AH108)</f>
        <v>41.8158691531374</v>
      </c>
      <c r="AJ108" s="18" t="n">
        <f aca="false">0.950724+0.051818*COS(Q108)+0.009531*COS(2*S108-Q108)+0.007843*COS(2*S108)+0.002824*COS(2*Q108)+0.000857*COS(2*S108+Q108)+0.000533*COS(2*S108-R108)+0.000401*COS(2*S108-R108-Q108)+0.00032*COS(Q108-R108)-0.000271*COS(S108)</f>
        <v>0.91769808468258</v>
      </c>
      <c r="AK108" s="50" t="n">
        <f aca="false">ASIN(COS($A$4*$G$2)*COS($A$4*AG108)*COS($A$4*AI108)+SIN($A$4*$G$2)*SIN($A$4*AG108))/$A$4</f>
        <v>27.2571141236358</v>
      </c>
      <c r="AL108" s="18" t="n">
        <f aca="false">ASIN((0.9983271+0.0016764*COS($A$4*2*$G$2))*COS($A$4*AK108)*SIN($A$4*AJ108))/$A$4</f>
        <v>0.815375077146502</v>
      </c>
      <c r="AM108" s="18" t="n">
        <f aca="false">AK108-AL108</f>
        <v>26.4417390464893</v>
      </c>
      <c r="AN108" s="10" t="n">
        <f aca="false"> IF(280.4664567 + 360007.6982779*M108/10 + 0.03032028*M108^2/100 + M108^3/49931000&lt;0,MOD(280.4664567 + 360007.6982779*M108/10 + 0.03032028*M108^2/100 + M108^3/49931000+360,360),MOD(280.4664567 + 360007.6982779*M108/10 + 0.03032028*M108^2/100 + M108^3/49931000,360))</f>
        <v>202.777391382917</v>
      </c>
      <c r="AO108" s="27" t="n">
        <f aca="false"> AN108 + (1.9146 - 0.004817*M108 - 0.000014*M108^2)*SIN(R108)+ (0.019993 - 0.000101*M108)*SIN(2*R108)+ 0.00029*SIN(3*R108)</f>
        <v>200.883616730807</v>
      </c>
      <c r="AP108" s="18" t="n">
        <f aca="false">ACOS(COS(X108-$A$4*AO108)*COS(Y108))/$A$4</f>
        <v>128.074563733997</v>
      </c>
      <c r="AQ108" s="25" t="n">
        <f aca="false">180 - AP108 -0.1468*(1-0.0549*SIN(R108))*SIN($A$4*AP108)/(1-0.0167*SIN($A$4*AO108))</f>
        <v>51.8043365446597</v>
      </c>
      <c r="AR108" s="25" t="n">
        <f aca="false">SIN($A$4*AI108)</f>
        <v>0.666738918402454</v>
      </c>
      <c r="AS108" s="25" t="n">
        <f aca="false">COS($A$4*AI108)*SIN($A$4*$G$2) - TAN($A$4*AG108)*COS($A$4*$G$2)</f>
        <v>-0.718103580066562</v>
      </c>
      <c r="AT108" s="25" t="n">
        <f aca="false">IF(OR(AND(AR108*AS108&gt;0), AND(AR108&lt;0,AS108&gt;0)), MOD(ATAN2(AS108,AR108)/$A$4+360,360),  ATAN2(AS108,AR108)/$A$4)</f>
        <v>137.124162047515</v>
      </c>
      <c r="AU108" s="29" t="n">
        <f aca="false">(1+SIN($A$4*H108)*SIN($A$4*AJ108))*120*ASIN(0.272481*SIN($A$4*AJ108))/$A$4</f>
        <v>30.2194401672427</v>
      </c>
      <c r="AV108" s="10" t="n">
        <f aca="false">COS(X108)</f>
        <v>0.296314250326537</v>
      </c>
      <c r="AW108" s="10" t="n">
        <f aca="false">SIN(X108)</f>
        <v>0.955090500975391</v>
      </c>
      <c r="AX108" s="30" t="n">
        <f aca="false"> 385000.56 + (-20905355*COS(Q108) - 3699111*COS(2*S108-Q108) - 2955968*COS(2*S108) - 569925*COS(2*Q108) + (1-0.002516*M108)*48888*COS(R108) - 3149*COS(2*T108)  +246158*COS(2*S108-2*Q108) -(1-0.002516*M108)*152138*COS(2*S108-R108-Q108) -170733*COS(2*S108+Q108) -(1-0.002516*M108)*204586*COS(2*S108-R108) -(1-0.002516*M108)*129620*COS(R108-Q108)  + 108743*COS(S108) +(1-0.002516*M108)*104755*COS(R108+Q108) +10321*COS(2*S108-2*T108) +79661*COS(Q108-2*T108) -34782*COS(4*S108-Q108) -23210*COS(3*Q108)  -21636*COS(4*S108-2*Q108) +(1-0.002516*M108)*24208*COS(2*S108+R108-Q108) +(1-0.002516*M108)*30824*COS(2*S108+R108) -8379*COS(S108-Q108) -(1-0.002516*M108)*16675*COS(S108+R108)  -(1-0.002516*M108)*12831*COS(2*S108-R108+Q108) -10445*COS(2*S108+2*Q108) -11650*COS(4*S108) +14403*COS(2*S108-3*Q108) -(1-0.002516*M108)*7003*COS(R108-2*Q108)  + (1-0.002516*M108)*10056*COS(2*S108-R108-2*Q108) +6322*COS(S108+Q108) -(1-0.002516*M108)*(1-0.002516*M108)*9884*COS(2*S108-2*R108) +(1-0.002516*M108)*5751*COS(R108+2*Q108) -(1-0.002516*M108)*(1-0.002516*M108)*4950*COS(2*S108-2*R108-Q108)  +4130*COS(2*S108+Q108-2*T108) -(1-0.002516*M108)*3958*COS(4*S108-R108-Q108) +3258*COS(3*S108-Q108) +(1-0.002516*M108)*2616*COS(2*S108+R108+Q108) -(1-0.002516*M108)*1897*COS(4*S108-R108-2*Q108)  -(1-0.002516*M108)*(1-0.002516*M108)*2117*COS(2*R108-Q108) +(1-0.002516*M108)*(1-0.002516*M108)*2354*COS(2*S108+2*R108-Q108) -1423*COS(4*S108+Q108) -1117*COS(4*Q108) -(1-0.002516*M108)*1571*COS(4*S108-R108)  -1739*COS(S108-2*Q108) -4421*COS(2*Q108-2*T108) +(1-0.002516*M108)*(1-0.002516*M108)*1165*COS(2*R108+Q108) +8752*COS(2*S108-Q108-2*T108))/1000</f>
        <v>398183.607633295</v>
      </c>
      <c r="AY108" s="10" t="n">
        <f aca="false">AY107+1/8</f>
        <v>14.25</v>
      </c>
      <c r="AZ108" s="17" t="n">
        <f aca="false">AZ107+1</f>
        <v>107</v>
      </c>
      <c r="BA108" s="32" t="n">
        <f aca="false">ATAN(0.99664719*TAN($A$4*input!$E$2))</f>
        <v>-0.400219206115995</v>
      </c>
      <c r="BB108" s="32" t="n">
        <f aca="false">COS(BA108)</f>
        <v>0.920975608992155</v>
      </c>
      <c r="BC108" s="32" t="n">
        <f aca="false">0.99664719*SIN(BA108)</f>
        <v>-0.388313912533463</v>
      </c>
      <c r="BD108" s="32" t="n">
        <f aca="false">6378.14/AX108</f>
        <v>0.0160180878311644</v>
      </c>
      <c r="BE108" s="33" t="n">
        <f aca="false">MOD(N108-15*AH108,360)</f>
        <v>41.8158691531374</v>
      </c>
      <c r="BF108" s="27" t="n">
        <f aca="false">COS($A$4*AG108)*SIN($A$4*BE108)</f>
        <v>0.604859145926364</v>
      </c>
      <c r="BG108" s="27" t="n">
        <f aca="false">COS($A$4*AG108)*COS($A$4*BE108)-BB108*BD108</f>
        <v>0.661368900694183</v>
      </c>
      <c r="BH108" s="27" t="n">
        <f aca="false">SIN($A$4*AG108)-BC108*BD108</f>
        <v>0.42694035555173</v>
      </c>
      <c r="BI108" s="46" t="n">
        <f aca="false">SQRT(BF108^2+BG108^2+BH108^2)</f>
        <v>0.992744416461176</v>
      </c>
      <c r="BJ108" s="35" t="n">
        <f aca="false">AX108*BI108</f>
        <v>395294.553204321</v>
      </c>
    </row>
    <row r="109" customFormat="false" ht="15" hidden="false" customHeight="false" outlineLevel="0" collapsed="false">
      <c r="A109" s="20"/>
      <c r="B109" s="20"/>
      <c r="C109" s="15" t="n">
        <f aca="false">MOD(C108+3,24)</f>
        <v>9</v>
      </c>
      <c r="D109" s="105" t="n">
        <v>14</v>
      </c>
      <c r="E109" s="102" t="n">
        <f aca="false">input!$C$2</f>
        <v>10</v>
      </c>
      <c r="F109" s="102" t="n">
        <f aca="false">input!$D$2</f>
        <v>2022</v>
      </c>
      <c r="G109" s="0"/>
      <c r="H109" s="39" t="n">
        <f aca="false">AM109</f>
        <v>-6.52922555098362</v>
      </c>
      <c r="I109" s="48" t="n">
        <f aca="false">H109+1.02/(TAN($A$4*(H109+10.3/(H109+5.11)))*60)</f>
        <v>-6.5985065488301</v>
      </c>
      <c r="J109" s="39" t="n">
        <f aca="false">100*(1+COS($A$4*AQ109))/2</f>
        <v>79.9483557378949</v>
      </c>
      <c r="K109" s="48" t="n">
        <f aca="false">IF(AI109&gt;180,AT109-180,AT109+180)</f>
        <v>295.014893776504</v>
      </c>
      <c r="L109" s="10" t="n">
        <f aca="false">L108+1/8</f>
        <v>2459866.875</v>
      </c>
      <c r="M109" s="49" t="n">
        <f aca="false">(L109-2451545)/36525</f>
        <v>0.22784052019165</v>
      </c>
      <c r="N109" s="15" t="n">
        <f aca="false">MOD(280.46061837+360.98564736629*(L109-2451545)+0.000387933*M109^2-M109^3/38710000+$G$4,360)</f>
        <v>157.894814852159</v>
      </c>
      <c r="O109" s="18" t="n">
        <f aca="false">0.60643382+1336.85522467*M109 - 0.00000313*M109^2 - INT(0.60643382+1336.85522467*M109 - 0.00000313*M109^2)</f>
        <v>0.196223467254981</v>
      </c>
      <c r="P109" s="15" t="n">
        <f aca="false">22640*SIN(Q109)-4586*SIN(Q109-2*S109)+2370*SIN(2*S109)+769*SIN(2*Q109)-668*SIN(R109)-412*SIN(2*T109)-212*SIN(2*Q109-2*S109)-206*SIN(Q109+R109-2*S109)+192*SIN(Q109+2*S109)-165*SIN(R109-2*S109)-125*SIN(S109)-110*SIN(Q109+R109)+148*SIN(Q109-R109)-55*SIN(2*T109-2*S109)</f>
        <v>13129.4372267339</v>
      </c>
      <c r="Q109" s="18" t="n">
        <f aca="false">2*PI()*(0.374897+1325.55241*M109 - INT(0.374897+1325.55241*M109))</f>
        <v>2.44697166251273</v>
      </c>
      <c r="R109" s="26" t="n">
        <f aca="false">2*PI()*(0.99312619+99.99735956*M109 - 0.00000044*M109^2 - INT(0.99312619+99.99735956*M109- 0.00000044*M109^2))</f>
        <v>4.87937460197174</v>
      </c>
      <c r="S109" s="26" t="n">
        <f aca="false">2*PI()*(0.827361+1236.853086*M109 - INT(0.827361+1236.853086*M109))</f>
        <v>3.97481537549099</v>
      </c>
      <c r="T109" s="26" t="n">
        <f aca="false">2*PI()*(0.259086+1342.227825*M109 - INT(0.259086+1342.227825*M109))</f>
        <v>0.458495741877294</v>
      </c>
      <c r="U109" s="26" t="n">
        <f aca="false">T109+(P109+412*SIN(2*T109)+541*SIN(R109))/206264.8062</f>
        <v>0.521148203514466</v>
      </c>
      <c r="V109" s="26" t="n">
        <f aca="false">T109-2*S109</f>
        <v>-7.4911350091047</v>
      </c>
      <c r="W109" s="25" t="n">
        <f aca="false">-526*SIN(V109)+44*SIN(Q109+V109)-31*SIN(-Q109+V109)-23*SIN(R109+V109)+11*SIN(-R109+V109)-25*SIN(-2*Q109+T109)+21*SIN(-Q109+T109)</f>
        <v>488.651865763172</v>
      </c>
      <c r="X109" s="26" t="n">
        <f aca="false">2*PI()*(O109+P109/1296000-INT(O109+P109/1296000))</f>
        <v>1.29656171430823</v>
      </c>
      <c r="Y109" s="26" t="n">
        <f aca="false">(18520*SIN(U109)+W109)/206264.8062</f>
        <v>0.0470721111721899</v>
      </c>
      <c r="Z109" s="26" t="n">
        <f aca="false">Y109*180/PI()</f>
        <v>2.69703330293709</v>
      </c>
      <c r="AA109" s="26" t="n">
        <f aca="false">COS(Y109)*COS(X109)</f>
        <v>0.27051025621731</v>
      </c>
      <c r="AB109" s="26" t="n">
        <f aca="false">COS(Y109)*SIN(X109)</f>
        <v>0.961566458292582</v>
      </c>
      <c r="AC109" s="26" t="n">
        <f aca="false">SIN(Y109)</f>
        <v>0.0470547294956174</v>
      </c>
      <c r="AD109" s="26" t="n">
        <f aca="false">COS($A$4*(23.4393-46.815*M109/3600))*AB109-SIN($A$4*(23.4393-46.815*M109/3600))*AC109</f>
        <v>0.863524625073666</v>
      </c>
      <c r="AE109" s="26" t="n">
        <f aca="false">SIN($A$4*(23.4393-46.815*M109/3600))*AB109+COS($A$4*(23.4393-46.815*M109/3600))*AC109</f>
        <v>0.425616521263719</v>
      </c>
      <c r="AF109" s="26" t="n">
        <f aca="false">SQRT(1-AE109*AE109)</f>
        <v>0.904903628475083</v>
      </c>
      <c r="AG109" s="10" t="n">
        <f aca="false">ATAN(AE109/AF109)/$A$4</f>
        <v>25.189693437404</v>
      </c>
      <c r="AH109" s="26" t="n">
        <f aca="false">IF(24*ATAN(AD109/(AA109+AF109))/PI()&gt;0,24*ATAN(AD109/(AA109+AF109))/PI(),24*ATAN(AD109/(AA109+AF109))/PI()+24)</f>
        <v>4.84041068355547</v>
      </c>
      <c r="AI109" s="10" t="n">
        <f aca="false">IF(N109-15*AH109&gt;0,N109-15*AH109,360+N109-15*AH109)</f>
        <v>85.2886545988275</v>
      </c>
      <c r="AJ109" s="18" t="n">
        <f aca="false">0.950724+0.051818*COS(Q109)+0.009531*COS(2*S109-Q109)+0.007843*COS(2*S109)+0.002824*COS(2*Q109)+0.000857*COS(2*S109+Q109)+0.000533*COS(2*S109-R109)+0.000401*COS(2*S109-R109-Q109)+0.00032*COS(Q109-R109)-0.000271*COS(S109)</f>
        <v>0.916695656720727</v>
      </c>
      <c r="AK109" s="50" t="n">
        <f aca="false">ASIN(COS($A$4*$G$2)*COS($A$4*AG109)*COS($A$4*AI109)+SIN($A$4*$G$2)*SIN($A$4*AG109))/$A$4</f>
        <v>-5.61739631710914</v>
      </c>
      <c r="AL109" s="18" t="n">
        <f aca="false">ASIN((0.9983271+0.0016764*COS($A$4*2*$G$2))*COS($A$4*AK109)*SIN($A$4*AJ109))/$A$4</f>
        <v>0.911829233874477</v>
      </c>
      <c r="AM109" s="18" t="n">
        <f aca="false">AK109-AL109</f>
        <v>-6.52922555098362</v>
      </c>
      <c r="AN109" s="10" t="n">
        <f aca="false"> IF(280.4664567 + 360007.6982779*M109/10 + 0.03032028*M109^2/100 + M109^3/49931000&lt;0,MOD(280.4664567 + 360007.6982779*M109/10 + 0.03032028*M109^2/100 + M109^3/49931000+360,360),MOD(280.4664567 + 360007.6982779*M109/10 + 0.03032028*M109^2/100 + M109^3/49931000,360))</f>
        <v>202.900597303404</v>
      </c>
      <c r="AO109" s="27" t="n">
        <f aca="false"> AN109 + (1.9146 - 0.004817*M109 - 0.000014*M109^2)*SIN(R109)+ (0.019993 - 0.000101*M109)*SIN(2*R109)+ 0.00029*SIN(3*R109)</f>
        <v>201.00742008972</v>
      </c>
      <c r="AP109" s="18" t="n">
        <f aca="false">ACOS(COS(X109-$A$4*AO109)*COS(Y109))/$A$4</f>
        <v>126.672580292876</v>
      </c>
      <c r="AQ109" s="25" t="n">
        <f aca="false">180 - AP109 -0.1468*(1-0.0549*SIN(R109))*SIN($A$4*AP109)/(1-0.0167*SIN($A$4*AO109))</f>
        <v>53.204041549589</v>
      </c>
      <c r="AR109" s="25" t="n">
        <f aca="false">SIN($A$4*AI109)</f>
        <v>0.996621142257719</v>
      </c>
      <c r="AS109" s="25" t="n">
        <f aca="false">COS($A$4*AI109)*SIN($A$4*$G$2) - TAN($A$4*AG109)*COS($A$4*$G$2)</f>
        <v>-0.465047508564228</v>
      </c>
      <c r="AT109" s="25" t="n">
        <f aca="false">IF(OR(AND(AR109*AS109&gt;0), AND(AR109&lt;0,AS109&gt;0)), MOD(ATAN2(AS109,AR109)/$A$4+360,360),  ATAN2(AS109,AR109)/$A$4)</f>
        <v>115.014893776504</v>
      </c>
      <c r="AU109" s="29" t="n">
        <f aca="false">(1+SIN($A$4*H109)*SIN($A$4*AJ109))*120*ASIN(0.272481*SIN($A$4*AJ109))/$A$4</f>
        <v>29.91814750703</v>
      </c>
      <c r="AV109" s="10" t="n">
        <f aca="false">COS(X109)</f>
        <v>0.270810229260711</v>
      </c>
      <c r="AW109" s="10" t="n">
        <f aca="false">SIN(X109)</f>
        <v>0.962632754339764</v>
      </c>
      <c r="AX109" s="30" t="n">
        <f aca="false"> 385000.56 + (-20905355*COS(Q109) - 3699111*COS(2*S109-Q109) - 2955968*COS(2*S109) - 569925*COS(2*Q109) + (1-0.002516*M109)*48888*COS(R109) - 3149*COS(2*T109)  +246158*COS(2*S109-2*Q109) -(1-0.002516*M109)*152138*COS(2*S109-R109-Q109) -170733*COS(2*S109+Q109) -(1-0.002516*M109)*204586*COS(2*S109-R109) -(1-0.002516*M109)*129620*COS(R109-Q109)  + 108743*COS(S109) +(1-0.002516*M109)*104755*COS(R109+Q109) +10321*COS(2*S109-2*T109) +79661*COS(Q109-2*T109) -34782*COS(4*S109-Q109) -23210*COS(3*Q109)  -21636*COS(4*S109-2*Q109) +(1-0.002516*M109)*24208*COS(2*S109+R109-Q109) +(1-0.002516*M109)*30824*COS(2*S109+R109) -8379*COS(S109-Q109) -(1-0.002516*M109)*16675*COS(S109+R109)  -(1-0.002516*M109)*12831*COS(2*S109-R109+Q109) -10445*COS(2*S109+2*Q109) -11650*COS(4*S109) +14403*COS(2*S109-3*Q109) -(1-0.002516*M109)*7003*COS(R109-2*Q109)  + (1-0.002516*M109)*10056*COS(2*S109-R109-2*Q109) +6322*COS(S109+Q109) -(1-0.002516*M109)*(1-0.002516*M109)*9884*COS(2*S109-2*R109) +(1-0.002516*M109)*5751*COS(R109+2*Q109) -(1-0.002516*M109)*(1-0.002516*M109)*4950*COS(2*S109-2*R109-Q109)  +4130*COS(2*S109+Q109-2*T109) -(1-0.002516*M109)*3958*COS(4*S109-R109-Q109) +3258*COS(3*S109-Q109) +(1-0.002516*M109)*2616*COS(2*S109+R109+Q109) -(1-0.002516*M109)*1897*COS(4*S109-R109-2*Q109)  -(1-0.002516*M109)*(1-0.002516*M109)*2117*COS(2*R109-Q109) +(1-0.002516*M109)*(1-0.002516*M109)*2354*COS(2*S109+2*R109-Q109) -1423*COS(4*S109+Q109) -1117*COS(4*Q109) -(1-0.002516*M109)*1571*COS(4*S109-R109)  -1739*COS(S109-2*Q109) -4421*COS(2*Q109-2*T109) +(1-0.002516*M109)*(1-0.002516*M109)*1165*COS(2*R109+Q109) +8752*COS(2*S109-Q109-2*T109))/1000</f>
        <v>398624.615686289</v>
      </c>
      <c r="AY109" s="10" t="n">
        <f aca="false">AY108+1/8</f>
        <v>14.375</v>
      </c>
      <c r="AZ109" s="17" t="n">
        <f aca="false">AZ108+1</f>
        <v>108</v>
      </c>
      <c r="BA109" s="32" t="n">
        <f aca="false">ATAN(0.99664719*TAN($A$4*input!$E$2))</f>
        <v>-0.400219206115995</v>
      </c>
      <c r="BB109" s="32" t="n">
        <f aca="false">COS(BA109)</f>
        <v>0.920975608992155</v>
      </c>
      <c r="BC109" s="32" t="n">
        <f aca="false">0.99664719*SIN(BA109)</f>
        <v>-0.388313912533463</v>
      </c>
      <c r="BD109" s="32" t="n">
        <f aca="false">6378.14/AX109</f>
        <v>0.0160003666332023</v>
      </c>
      <c r="BE109" s="33" t="n">
        <f aca="false">MOD(N109-15*AH109,360)</f>
        <v>85.2886545988275</v>
      </c>
      <c r="BF109" s="27" t="n">
        <f aca="false">COS($A$4*AG109)*SIN($A$4*BE109)</f>
        <v>0.901846087843992</v>
      </c>
      <c r="BG109" s="27" t="n">
        <f aca="false">COS($A$4*AG109)*COS($A$4*BE109)-BB109*BD109</f>
        <v>0.0595890865202511</v>
      </c>
      <c r="BH109" s="27" t="n">
        <f aca="false">SIN($A$4*AG109)-BC109*BD109</f>
        <v>0.431829686233028</v>
      </c>
      <c r="BI109" s="46" t="n">
        <f aca="false">SQRT(BF109^2+BG109^2+BH109^2)</f>
        <v>1.00167564775427</v>
      </c>
      <c r="BJ109" s="35" t="n">
        <f aca="false">AX109*BI109</f>
        <v>399292.570128363</v>
      </c>
    </row>
    <row r="110" customFormat="false" ht="15" hidden="false" customHeight="false" outlineLevel="0" collapsed="false">
      <c r="A110" s="20"/>
      <c r="B110" s="20"/>
      <c r="C110" s="15" t="n">
        <f aca="false">MOD(C109+3,24)</f>
        <v>12</v>
      </c>
      <c r="D110" s="105" t="n">
        <v>14</v>
      </c>
      <c r="E110" s="102" t="n">
        <f aca="false">input!$C$2</f>
        <v>10</v>
      </c>
      <c r="F110" s="102" t="n">
        <f aca="false">input!$D$2</f>
        <v>2022</v>
      </c>
      <c r="G110" s="0"/>
      <c r="H110" s="39" t="n">
        <f aca="false">AM110</f>
        <v>-44.1594820741982</v>
      </c>
      <c r="I110" s="48" t="n">
        <f aca="false">H110+1.02/(TAN($A$4*(H110+10.3/(H110+5.11)))*60)</f>
        <v>-44.1768278165362</v>
      </c>
      <c r="J110" s="39" t="n">
        <f aca="false">100*(1+COS($A$4*AQ110))/2</f>
        <v>78.9638502770873</v>
      </c>
      <c r="K110" s="48" t="n">
        <f aca="false">IF(AI110&gt;180,AT110-180,AT110+180)</f>
        <v>283.974776631249</v>
      </c>
      <c r="L110" s="10" t="n">
        <f aca="false">L109+1/8</f>
        <v>2459867</v>
      </c>
      <c r="M110" s="49" t="n">
        <f aca="false">(L110-2451545)/36525</f>
        <v>0.227843942505133</v>
      </c>
      <c r="N110" s="15" t="n">
        <f aca="false">MOD(280.46061837+360.98564736629*(L110-2451545)+0.000387933*M110^2-M110^3/38710000+$G$4,360)</f>
        <v>203.018020773772</v>
      </c>
      <c r="O110" s="18" t="n">
        <f aca="false">0.60643382+1336.85522467*M110 - 0.00000313*M110^2 - INT(0.60643382+1336.85522467*M110 - 0.00000313*M110^2)</f>
        <v>0.20079860491154</v>
      </c>
      <c r="P110" s="15" t="n">
        <f aca="false">22640*SIN(Q110)-4586*SIN(Q110-2*S110)+2370*SIN(2*S110)+769*SIN(2*Q110)-668*SIN(R110)-412*SIN(2*T110)-212*SIN(2*Q110-2*S110)-206*SIN(Q110+R110-2*S110)+192*SIN(Q110+2*S110)-165*SIN(R110-2*S110)-125*SIN(S110)-110*SIN(Q110+R110)+148*SIN(Q110-R110)-55*SIN(2*T110-2*S110)</f>
        <v>12674.1339077168</v>
      </c>
      <c r="Q110" s="18" t="n">
        <f aca="false">2*PI()*(0.374897+1325.55241*M110 - INT(0.374897+1325.55241*M110))</f>
        <v>2.47547505548453</v>
      </c>
      <c r="R110" s="26" t="n">
        <f aca="false">2*PI()*(0.99312619+99.99735956*M110 - 0.00000044*M110^2 - INT(0.99312619+99.99735956*M110- 0.00000044*M110^2))</f>
        <v>4.88152484816982</v>
      </c>
      <c r="S110" s="26" t="n">
        <f aca="false">2*PI()*(0.827361+1236.853086*M110 - INT(0.827361+1236.853086*M110))</f>
        <v>4.00141146425592</v>
      </c>
      <c r="T110" s="26" t="n">
        <f aca="false">2*PI()*(0.259086+1342.227825*M110 - INT(0.259086+1342.227825*M110))</f>
        <v>0.487357706795053</v>
      </c>
      <c r="U110" s="26" t="n">
        <f aca="false">T110+(P110+412*SIN(2*T110)+541*SIN(R110))/206264.8062</f>
        <v>0.5478711858187</v>
      </c>
      <c r="V110" s="26" t="n">
        <f aca="false">T110-2*S110</f>
        <v>-7.51546522171678</v>
      </c>
      <c r="W110" s="25" t="n">
        <f aca="false">-526*SIN(V110)+44*SIN(Q110+V110)-31*SIN(-Q110+V110)-23*SIN(R110+V110)+11*SIN(-R110+V110)-25*SIN(-2*Q110+T110)+21*SIN(-Q110+T110)</f>
        <v>490.787519020615</v>
      </c>
      <c r="X110" s="26" t="n">
        <f aca="false">2*PI()*(O110+P110/1296000-INT(O110+P110/1296000))</f>
        <v>1.3231007792291</v>
      </c>
      <c r="Y110" s="26" t="n">
        <f aca="false">(18520*SIN(U110)+W110)/206264.8062</f>
        <v>0.0491471228306059</v>
      </c>
      <c r="Z110" s="26" t="n">
        <f aca="false">Y110*180/PI()</f>
        <v>2.81592271340477</v>
      </c>
      <c r="AA110" s="26" t="n">
        <f aca="false">COS(Y110)*COS(X110)</f>
        <v>0.244874454051086</v>
      </c>
      <c r="AB110" s="26" t="n">
        <f aca="false">COS(Y110)*SIN(X110)</f>
        <v>0.968309354611109</v>
      </c>
      <c r="AC110" s="26" t="n">
        <f aca="false">SIN(Y110)</f>
        <v>0.0491273399015195</v>
      </c>
      <c r="AD110" s="26" t="n">
        <f aca="false">COS($A$4*(23.4393-46.815*M110/3600))*AB110-SIN($A$4*(23.4393-46.815*M110/3600))*AC110</f>
        <v>0.868886911070372</v>
      </c>
      <c r="AE110" s="26" t="n">
        <f aca="false">SIN($A$4*(23.4393-46.815*M110/3600))*AB110+COS($A$4*(23.4393-46.815*M110/3600))*AC110</f>
        <v>0.430199997122001</v>
      </c>
      <c r="AF110" s="26" t="n">
        <f aca="false">SQRT(1-AE110*AE110)</f>
        <v>0.902733605487372</v>
      </c>
      <c r="AG110" s="10" t="n">
        <f aca="false">ATAN(AE110/AF110)/$A$4</f>
        <v>25.4802531298416</v>
      </c>
      <c r="AH110" s="26" t="n">
        <f aca="false">IF(24*ATAN(AD110/(AA110+AF110))/PI()&gt;0,24*ATAN(AD110/(AA110+AF110))/PI(),24*ATAN(AD110/(AA110+AF110))/PI()+24)</f>
        <v>4.9507208131371</v>
      </c>
      <c r="AI110" s="10" t="n">
        <f aca="false">IF(N110-15*AH110&gt;0,N110-15*AH110,360+N110-15*AH110)</f>
        <v>128.757208576716</v>
      </c>
      <c r="AJ110" s="18" t="n">
        <f aca="false">0.950724+0.051818*COS(Q110)+0.009531*COS(2*S110-Q110)+0.007843*COS(2*S110)+0.002824*COS(2*Q110)+0.000857*COS(2*S110+Q110)+0.000533*COS(2*S110-R110)+0.000401*COS(2*S110-R110-Q110)+0.00032*COS(Q110-R110)-0.000271*COS(S110)</f>
        <v>0.915726387857292</v>
      </c>
      <c r="AK110" s="50" t="n">
        <f aca="false">ASIN(COS($A$4*$G$2)*COS($A$4*AG110)*COS($A$4*AI110)+SIN($A$4*$G$2)*SIN($A$4*AG110))/$A$4</f>
        <v>-43.4955396701204</v>
      </c>
      <c r="AL110" s="18" t="n">
        <f aca="false">ASIN((0.9983271+0.0016764*COS($A$4*2*$G$2))*COS($A$4*AK110)*SIN($A$4*AJ110))/$A$4</f>
        <v>0.663942404077766</v>
      </c>
      <c r="AM110" s="18" t="n">
        <f aca="false">AK110-AL110</f>
        <v>-44.1594820741982</v>
      </c>
      <c r="AN110" s="10" t="n">
        <f aca="false"> IF(280.4664567 + 360007.6982779*M110/10 + 0.03032028*M110^2/100 + M110^3/49931000&lt;0,MOD(280.4664567 + 360007.6982779*M110/10 + 0.03032028*M110^2/100 + M110^3/49931000+360,360),MOD(280.4664567 + 360007.6982779*M110/10 + 0.03032028*M110^2/100 + M110^3/49931000,360))</f>
        <v>203.023803223889</v>
      </c>
      <c r="AO110" s="27" t="n">
        <f aca="false"> AN110 + (1.9146 - 0.004817*M110 - 0.000014*M110^2)*SIN(R110)+ (0.019993 - 0.000101*M110)*SIN(2*R110)+ 0.00029*SIN(3*R110)</f>
        <v>201.131232283224</v>
      </c>
      <c r="AP110" s="18" t="n">
        <f aca="false">ACOS(COS(X110-$A$4*AO110)*COS(Y110))/$A$4</f>
        <v>125.274130125726</v>
      </c>
      <c r="AQ110" s="25" t="n">
        <f aca="false">180 - AP110 -0.1468*(1-0.0549*SIN(R110))*SIN($A$4*AP110)/(1-0.0167*SIN($A$4*AO110))</f>
        <v>54.6002928861893</v>
      </c>
      <c r="AR110" s="25" t="n">
        <f aca="false">SIN($A$4*AI110)</f>
        <v>0.779805727361722</v>
      </c>
      <c r="AS110" s="25" t="n">
        <f aca="false">COS($A$4*AI110)*SIN($A$4*$G$2) - TAN($A$4*AG110)*COS($A$4*$G$2)</f>
        <v>-0.194062809362456</v>
      </c>
      <c r="AT110" s="25" t="n">
        <f aca="false">IF(OR(AND(AR110*AS110&gt;0), AND(AR110&lt;0,AS110&gt;0)), MOD(ATAN2(AS110,AR110)/$A$4+360,360),  ATAN2(AS110,AR110)/$A$4)</f>
        <v>103.974776631249</v>
      </c>
      <c r="AU110" s="29" t="n">
        <f aca="false">(1+SIN($A$4*H110)*SIN($A$4*AJ110))*120*ASIN(0.272481*SIN($A$4*AJ110))/$A$4</f>
        <v>29.6076274014927</v>
      </c>
      <c r="AV110" s="10" t="n">
        <f aca="false">COS(X110)</f>
        <v>0.245170491722807</v>
      </c>
      <c r="AW110" s="10" t="n">
        <f aca="false">SIN(X110)</f>
        <v>0.969479979158104</v>
      </c>
      <c r="AX110" s="30" t="n">
        <f aca="false"> 385000.56 + (-20905355*COS(Q110) - 3699111*COS(2*S110-Q110) - 2955968*COS(2*S110) - 569925*COS(2*Q110) + (1-0.002516*M110)*48888*COS(R110) - 3149*COS(2*T110)  +246158*COS(2*S110-2*Q110) -(1-0.002516*M110)*152138*COS(2*S110-R110-Q110) -170733*COS(2*S110+Q110) -(1-0.002516*M110)*204586*COS(2*S110-R110) -(1-0.002516*M110)*129620*COS(R110-Q110)  + 108743*COS(S110) +(1-0.002516*M110)*104755*COS(R110+Q110) +10321*COS(2*S110-2*T110) +79661*COS(Q110-2*T110) -34782*COS(4*S110-Q110) -23210*COS(3*Q110)  -21636*COS(4*S110-2*Q110) +(1-0.002516*M110)*24208*COS(2*S110+R110-Q110) +(1-0.002516*M110)*30824*COS(2*S110+R110) -8379*COS(S110-Q110) -(1-0.002516*M110)*16675*COS(S110+R110)  -(1-0.002516*M110)*12831*COS(2*S110-R110+Q110) -10445*COS(2*S110+2*Q110) -11650*COS(4*S110) +14403*COS(2*S110-3*Q110) -(1-0.002516*M110)*7003*COS(R110-2*Q110)  + (1-0.002516*M110)*10056*COS(2*S110-R110-2*Q110) +6322*COS(S110+Q110) -(1-0.002516*M110)*(1-0.002516*M110)*9884*COS(2*S110-2*R110) +(1-0.002516*M110)*5751*COS(R110+2*Q110) -(1-0.002516*M110)*(1-0.002516*M110)*4950*COS(2*S110-2*R110-Q110)  +4130*COS(2*S110+Q110-2*T110) -(1-0.002516*M110)*3958*COS(4*S110-R110-Q110) +3258*COS(3*S110-Q110) +(1-0.002516*M110)*2616*COS(2*S110+R110+Q110) -(1-0.002516*M110)*1897*COS(4*S110-R110-2*Q110)  -(1-0.002516*M110)*(1-0.002516*M110)*2117*COS(2*R110-Q110) +(1-0.002516*M110)*(1-0.002516*M110)*2354*COS(2*S110+2*R110-Q110) -1423*COS(4*S110+Q110) -1117*COS(4*Q110) -(1-0.002516*M110)*1571*COS(4*S110-R110)  -1739*COS(S110-2*Q110) -4421*COS(2*Q110-2*T110) +(1-0.002516*M110)*(1-0.002516*M110)*1165*COS(2*R110+Q110) +8752*COS(2*S110-Q110-2*T110))/1000</f>
        <v>399052.751142123</v>
      </c>
      <c r="AY110" s="10" t="n">
        <f aca="false">AY109+1/8</f>
        <v>14.5</v>
      </c>
      <c r="AZ110" s="17" t="n">
        <f aca="false">AZ109+1</f>
        <v>109</v>
      </c>
      <c r="BA110" s="32" t="n">
        <f aca="false">ATAN(0.99664719*TAN($A$4*input!$E$2))</f>
        <v>-0.400219206115995</v>
      </c>
      <c r="BB110" s="32" t="n">
        <f aca="false">COS(BA110)</f>
        <v>0.920975608992155</v>
      </c>
      <c r="BC110" s="32" t="n">
        <f aca="false">0.99664719*SIN(BA110)</f>
        <v>-0.388313912533463</v>
      </c>
      <c r="BD110" s="32" t="n">
        <f aca="false">6378.14/AX110</f>
        <v>0.0159832001702663</v>
      </c>
      <c r="BE110" s="33" t="n">
        <f aca="false">MOD(N110-15*AH110,360)</f>
        <v>128.757208576716</v>
      </c>
      <c r="BF110" s="27" t="n">
        <f aca="false">COS($A$4*AG110)*SIN($A$4*BE110)</f>
        <v>0.70395683584095</v>
      </c>
      <c r="BG110" s="27" t="n">
        <f aca="false">COS($A$4*AG110)*COS($A$4*BE110)-BB110*BD110</f>
        <v>-0.579850861988454</v>
      </c>
      <c r="BH110" s="27" t="n">
        <f aca="false">SIN($A$4*AG110)-BC110*BD110</f>
        <v>0.436406496114923</v>
      </c>
      <c r="BI110" s="46" t="n">
        <f aca="false">SQRT(BF110^2+BG110^2+BH110^2)</f>
        <v>1.01105532921164</v>
      </c>
      <c r="BJ110" s="35" t="n">
        <f aca="false">AX110*BI110</f>
        <v>403464.41067881</v>
      </c>
    </row>
    <row r="111" customFormat="false" ht="15" hidden="false" customHeight="false" outlineLevel="0" collapsed="false">
      <c r="A111" s="20"/>
      <c r="B111" s="20"/>
      <c r="C111" s="15" t="n">
        <f aca="false">MOD(C110+3,24)</f>
        <v>15</v>
      </c>
      <c r="D111" s="105" t="n">
        <v>14</v>
      </c>
      <c r="E111" s="102" t="n">
        <f aca="false">input!$C$2</f>
        <v>10</v>
      </c>
      <c r="F111" s="102" t="n">
        <f aca="false">input!$D$2</f>
        <v>2022</v>
      </c>
      <c r="G111" s="0"/>
      <c r="H111" s="39" t="n">
        <f aca="false">AM111</f>
        <v>-82.5223940009035</v>
      </c>
      <c r="I111" s="48" t="n">
        <f aca="false">H111+1.02/(TAN($A$4*(H111+10.3/(H111+5.11)))*60)</f>
        <v>-82.5245851883524</v>
      </c>
      <c r="J111" s="39" t="n">
        <f aca="false">100*(1+COS($A$4*AQ111))/2</f>
        <v>77.964552577822</v>
      </c>
      <c r="K111" s="48" t="n">
        <f aca="false">IF(AI111&gt;180,AT111-180,AT111+180)</f>
        <v>292.800987876001</v>
      </c>
      <c r="L111" s="10" t="n">
        <f aca="false">L110+1/8</f>
        <v>2459867.125</v>
      </c>
      <c r="M111" s="49" t="n">
        <f aca="false">(L111-2451545)/36525</f>
        <v>0.227847364818617</v>
      </c>
      <c r="N111" s="15" t="n">
        <f aca="false">MOD(280.46061837+360.98564736629*(L111-2451545)+0.000387933*M111^2-M111^3/38710000+$G$4,360)</f>
        <v>248.141226694919</v>
      </c>
      <c r="O111" s="18" t="n">
        <f aca="false">0.60643382+1336.85522467*M111 - 0.00000313*M111^2 - INT(0.60643382+1336.85522467*M111 - 0.00000313*M111^2)</f>
        <v>0.205373742568099</v>
      </c>
      <c r="P111" s="15" t="n">
        <f aca="false">22640*SIN(Q111)-4586*SIN(Q111-2*S111)+2370*SIN(2*S111)+769*SIN(2*Q111)-668*SIN(R111)-412*SIN(2*T111)-212*SIN(2*Q111-2*S111)-206*SIN(Q111+R111-2*S111)+192*SIN(Q111+2*S111)-165*SIN(R111-2*S111)-125*SIN(S111)-110*SIN(Q111+R111)+148*SIN(Q111-R111)-55*SIN(2*T111-2*S111)</f>
        <v>12207.4459842266</v>
      </c>
      <c r="Q111" s="18" t="n">
        <f aca="false">2*PI()*(0.374897+1325.55241*M111 - INT(0.374897+1325.55241*M111))</f>
        <v>2.50397844845668</v>
      </c>
      <c r="R111" s="26" t="n">
        <f aca="false">2*PI()*(0.99312619+99.99735956*M111 - 0.00000044*M111^2 - INT(0.99312619+99.99735956*M111- 0.00000044*M111^2))</f>
        <v>4.88367509436793</v>
      </c>
      <c r="S111" s="26" t="n">
        <f aca="false">2*PI()*(0.827361+1236.853086*M111 - INT(0.827361+1236.853086*M111))</f>
        <v>4.02800755302084</v>
      </c>
      <c r="T111" s="26" t="n">
        <f aca="false">2*PI()*(0.259086+1342.227825*M111 - INT(0.259086+1342.227825*M111))</f>
        <v>0.516219671712813</v>
      </c>
      <c r="U111" s="26" t="n">
        <f aca="false">T111+(P111+412*SIN(2*T111)+541*SIN(R111))/206264.8062</f>
        <v>0.574533479738809</v>
      </c>
      <c r="V111" s="26" t="n">
        <f aca="false">T111-2*S111</f>
        <v>-7.53979543432887</v>
      </c>
      <c r="W111" s="25" t="n">
        <f aca="false">-526*SIN(V111)+44*SIN(Q111+V111)-31*SIN(-Q111+V111)-23*SIN(R111+V111)+11*SIN(-R111+V111)-25*SIN(-2*Q111+T111)+21*SIN(-Q111+T111)</f>
        <v>492.687561067405</v>
      </c>
      <c r="X111" s="26" t="n">
        <f aca="false">2*PI()*(O111+P111/1296000-INT(O111+P111/1296000))</f>
        <v>1.34958465002995</v>
      </c>
      <c r="Y111" s="26" t="n">
        <f aca="false">(18520*SIN(U111)+W111)/206264.8062</f>
        <v>0.0511830224425451</v>
      </c>
      <c r="Z111" s="26" t="n">
        <f aca="false">Y111*180/PI()</f>
        <v>2.93257116868121</v>
      </c>
      <c r="AA111" s="26" t="n">
        <f aca="false">COS(Y111)*COS(X111)</f>
        <v>0.219124600674664</v>
      </c>
      <c r="AB111" s="26" t="n">
        <f aca="false">COS(Y111)*SIN(X111)</f>
        <v>0.974354655352146</v>
      </c>
      <c r="AC111" s="26" t="n">
        <f aca="false">SIN(Y111)</f>
        <v>0.0511606779936483</v>
      </c>
      <c r="AD111" s="26" t="n">
        <f aca="false">COS($A$4*(23.4393-46.815*M111/3600))*AB111-SIN($A$4*(23.4393-46.815*M111/3600))*AC111</f>
        <v>0.873624771110845</v>
      </c>
      <c r="AE111" s="26" t="n">
        <f aca="false">SIN($A$4*(23.4393-46.815*M111/3600))*AB111+COS($A$4*(23.4393-46.815*M111/3600))*AC111</f>
        <v>0.434469985937685</v>
      </c>
      <c r="AF111" s="26" t="n">
        <f aca="false">SQRT(1-AE111*AE111)</f>
        <v>0.900686311275634</v>
      </c>
      <c r="AG111" s="10" t="n">
        <f aca="false">ATAN(AE111/AF111)/$A$4</f>
        <v>25.7515730573344</v>
      </c>
      <c r="AH111" s="26" t="n">
        <f aca="false">IF(24*ATAN(AD111/(AA111+AF111))/PI()&gt;0,24*ATAN(AD111/(AA111+AF111))/PI(),24*ATAN(AD111/(AA111+AF111))/PI()+24)</f>
        <v>5.06129470735702</v>
      </c>
      <c r="AI111" s="10" t="n">
        <f aca="false">IF(N111-15*AH111&gt;0,N111-15*AH111,360+N111-15*AH111)</f>
        <v>172.221806084564</v>
      </c>
      <c r="AJ111" s="18" t="n">
        <f aca="false">0.950724+0.051818*COS(Q111)+0.009531*COS(2*S111-Q111)+0.007843*COS(2*S111)+0.002824*COS(2*Q111)+0.000857*COS(2*S111+Q111)+0.000533*COS(2*S111-R111)+0.000401*COS(2*S111-R111-Q111)+0.00032*COS(Q111-R111)-0.000271*COS(S111)</f>
        <v>0.91479120281839</v>
      </c>
      <c r="AK111" s="50" t="n">
        <f aca="false">ASIN(COS($A$4*$G$2)*COS($A$4*AG111)*COS($A$4*AI111)+SIN($A$4*$G$2)*SIN($A$4*AG111))/$A$4</f>
        <v>-82.401497255536</v>
      </c>
      <c r="AL111" s="18" t="n">
        <f aca="false">ASIN((0.9983271+0.0016764*COS($A$4*2*$G$2))*COS($A$4*AK111)*SIN($A$4*AJ111))/$A$4</f>
        <v>0.120896745367531</v>
      </c>
      <c r="AM111" s="18" t="n">
        <f aca="false">AK111-AL111</f>
        <v>-82.5223940009035</v>
      </c>
      <c r="AN111" s="10" t="n">
        <f aca="false"> IF(280.4664567 + 360007.6982779*M111/10 + 0.03032028*M111^2/100 + M111^3/49931000&lt;0,MOD(280.4664567 + 360007.6982779*M111/10 + 0.03032028*M111^2/100 + M111^3/49931000+360,360),MOD(280.4664567 + 360007.6982779*M111/10 + 0.03032028*M111^2/100 + M111^3/49931000,360))</f>
        <v>203.147009144375</v>
      </c>
      <c r="AO111" s="27" t="n">
        <f aca="false"> AN111 + (1.9146 - 0.004817*M111 - 0.000014*M111^2)*SIN(R111)+ (0.019993 - 0.000101*M111)*SIN(2*R111)+ 0.00029*SIN(3*R111)</f>
        <v>201.255053309679</v>
      </c>
      <c r="AP111" s="18" t="n">
        <f aca="false">ACOS(COS(X111-$A$4*AO111)*COS(Y111))/$A$4</f>
        <v>123.87908774243</v>
      </c>
      <c r="AQ111" s="25" t="n">
        <f aca="false">180 - AP111 -0.1468*(1-0.0549*SIN(R111))*SIN($A$4*AP111)/(1-0.0167*SIN($A$4*AO111))</f>
        <v>55.9932165973869</v>
      </c>
      <c r="AR111" s="25" t="n">
        <f aca="false">SIN($A$4*AI111)</f>
        <v>0.135338495902424</v>
      </c>
      <c r="AS111" s="25" t="n">
        <f aca="false">COS($A$4*AI111)*SIN($A$4*$G$2) - TAN($A$4*AG111)*COS($A$4*$G$2)</f>
        <v>-0.0568938109578555</v>
      </c>
      <c r="AT111" s="25" t="n">
        <f aca="false">IF(OR(AND(AR111*AS111&gt;0), AND(AR111&lt;0,AS111&gt;0)), MOD(ATAN2(AS111,AR111)/$A$4+360,360),  ATAN2(AS111,AR111)/$A$4)</f>
        <v>112.800987876</v>
      </c>
      <c r="AU111" s="29" t="n">
        <f aca="false">(1+SIN($A$4*H111)*SIN($A$4*AJ111))*120*ASIN(0.272481*SIN($A$4*AJ111))/$A$4</f>
        <v>29.4369383105536</v>
      </c>
      <c r="AV111" s="10" t="n">
        <f aca="false">COS(X111)</f>
        <v>0.219411934857804</v>
      </c>
      <c r="AW111" s="10" t="n">
        <f aca="false">SIN(X111)</f>
        <v>0.975632309244602</v>
      </c>
      <c r="AX111" s="30" t="n">
        <f aca="false"> 385000.56 + (-20905355*COS(Q111) - 3699111*COS(2*S111-Q111) - 2955968*COS(2*S111) - 569925*COS(2*Q111) + (1-0.002516*M111)*48888*COS(R111) - 3149*COS(2*T111)  +246158*COS(2*S111-2*Q111) -(1-0.002516*M111)*152138*COS(2*S111-R111-Q111) -170733*COS(2*S111+Q111) -(1-0.002516*M111)*204586*COS(2*S111-R111) -(1-0.002516*M111)*129620*COS(R111-Q111)  + 108743*COS(S111) +(1-0.002516*M111)*104755*COS(R111+Q111) +10321*COS(2*S111-2*T111) +79661*COS(Q111-2*T111) -34782*COS(4*S111-Q111) -23210*COS(3*Q111)  -21636*COS(4*S111-2*Q111) +(1-0.002516*M111)*24208*COS(2*S111+R111-Q111) +(1-0.002516*M111)*30824*COS(2*S111+R111) -8379*COS(S111-Q111) -(1-0.002516*M111)*16675*COS(S111+R111)  -(1-0.002516*M111)*12831*COS(2*S111-R111+Q111) -10445*COS(2*S111+2*Q111) -11650*COS(4*S111) +14403*COS(2*S111-3*Q111) -(1-0.002516*M111)*7003*COS(R111-2*Q111)  + (1-0.002516*M111)*10056*COS(2*S111-R111-2*Q111) +6322*COS(S111+Q111) -(1-0.002516*M111)*(1-0.002516*M111)*9884*COS(2*S111-2*R111) +(1-0.002516*M111)*5751*COS(R111+2*Q111) -(1-0.002516*M111)*(1-0.002516*M111)*4950*COS(2*S111-2*R111-Q111)  +4130*COS(2*S111+Q111-2*T111) -(1-0.002516*M111)*3958*COS(4*S111-R111-Q111) +3258*COS(3*S111-Q111) +(1-0.002516*M111)*2616*COS(2*S111+R111+Q111) -(1-0.002516*M111)*1897*COS(4*S111-R111-2*Q111)  -(1-0.002516*M111)*(1-0.002516*M111)*2117*COS(2*R111-Q111) +(1-0.002516*M111)*(1-0.002516*M111)*2354*COS(2*S111+2*R111-Q111) -1423*COS(4*S111+Q111) -1117*COS(4*Q111) -(1-0.002516*M111)*1571*COS(4*S111-R111)  -1739*COS(S111-2*Q111) -4421*COS(2*Q111-2*T111) +(1-0.002516*M111)*(1-0.002516*M111)*1165*COS(2*R111+Q111) +8752*COS(2*S111-Q111-2*T111))/1000</f>
        <v>399467.47143149</v>
      </c>
      <c r="AY111" s="10" t="n">
        <f aca="false">AY110+1/8</f>
        <v>14.625</v>
      </c>
      <c r="AZ111" s="17" t="n">
        <f aca="false">AZ110+1</f>
        <v>110</v>
      </c>
      <c r="BA111" s="32" t="n">
        <f aca="false">ATAN(0.99664719*TAN($A$4*input!$E$2))</f>
        <v>-0.400219206115995</v>
      </c>
      <c r="BB111" s="32" t="n">
        <f aca="false">COS(BA111)</f>
        <v>0.920975608992155</v>
      </c>
      <c r="BC111" s="32" t="n">
        <f aca="false">0.99664719*SIN(BA111)</f>
        <v>-0.388313912533463</v>
      </c>
      <c r="BD111" s="32" t="n">
        <f aca="false">6378.14/AX111</f>
        <v>0.0159666066855055</v>
      </c>
      <c r="BE111" s="33" t="n">
        <f aca="false">MOD(N111-15*AH111,360)</f>
        <v>172.221806084564</v>
      </c>
      <c r="BF111" s="27" t="n">
        <f aca="false">COS($A$4*AG111)*SIN($A$4*BE111)</f>
        <v>0.121897530647947</v>
      </c>
      <c r="BG111" s="27" t="n">
        <f aca="false">COS($A$4*AG111)*COS($A$4*BE111)-BB111*BD111</f>
        <v>-0.907104330517966</v>
      </c>
      <c r="BH111" s="27" t="n">
        <f aca="false">SIN($A$4*AG111)-BC111*BD111</f>
        <v>0.440670041449617</v>
      </c>
      <c r="BI111" s="46" t="n">
        <f aca="false">SQRT(BF111^2+BG111^2+BH111^2)</f>
        <v>1.0158185664053</v>
      </c>
      <c r="BJ111" s="35" t="n">
        <f aca="false">AX111*BI111</f>
        <v>405786.474155086</v>
      </c>
    </row>
    <row r="112" customFormat="false" ht="15" hidden="false" customHeight="false" outlineLevel="0" collapsed="false">
      <c r="A112" s="20"/>
      <c r="B112" s="20"/>
      <c r="C112" s="15" t="n">
        <f aca="false">MOD(C111+3,24)</f>
        <v>18</v>
      </c>
      <c r="D112" s="105" t="n">
        <v>14</v>
      </c>
      <c r="E112" s="102" t="n">
        <f aca="false">input!$C$2</f>
        <v>10</v>
      </c>
      <c r="F112" s="102" t="n">
        <f aca="false">input!$D$2</f>
        <v>2022</v>
      </c>
      <c r="G112" s="0"/>
      <c r="H112" s="39" t="n">
        <f aca="false">AM112</f>
        <v>-57.9816451880982</v>
      </c>
      <c r="I112" s="48" t="n">
        <f aca="false">H112+1.02/(TAN($A$4*(H112+10.3/(H112+5.11)))*60)</f>
        <v>-57.9921953080439</v>
      </c>
      <c r="J112" s="39" t="n">
        <f aca="false">100*(1+COS($A$4*AQ112))/2</f>
        <v>76.9510785013991</v>
      </c>
      <c r="K112" s="48" t="n">
        <f aca="false">IF(AI112&gt;180,AT112-180,AT112+180)</f>
        <v>77.2810166563828</v>
      </c>
      <c r="L112" s="10" t="n">
        <f aca="false">L111+1/8</f>
        <v>2459867.25</v>
      </c>
      <c r="M112" s="49" t="n">
        <f aca="false">(L112-2451545)/36525</f>
        <v>0.227850787132101</v>
      </c>
      <c r="N112" s="15" t="n">
        <f aca="false">MOD(280.46061837+360.98564736629*(L112-2451545)+0.000387933*M112^2-M112^3/38710000+$G$4,360)</f>
        <v>293.264432616532</v>
      </c>
      <c r="O112" s="18" t="n">
        <f aca="false">0.60643382+1336.85522467*M112 - 0.00000313*M112^2 - INT(0.60643382+1336.85522467*M112 - 0.00000313*M112^2)</f>
        <v>0.209948880224601</v>
      </c>
      <c r="P112" s="15" t="n">
        <f aca="false">22640*SIN(Q112)-4586*SIN(Q112-2*S112)+2370*SIN(2*S112)+769*SIN(2*Q112)-668*SIN(R112)-412*SIN(2*T112)-212*SIN(2*Q112-2*S112)-206*SIN(Q112+R112-2*S112)+192*SIN(Q112+2*S112)-165*SIN(R112-2*S112)-125*SIN(S112)-110*SIN(Q112+R112)+148*SIN(Q112-R112)-55*SIN(2*T112-2*S112)</f>
        <v>11729.8765810328</v>
      </c>
      <c r="Q112" s="18" t="n">
        <f aca="false">2*PI()*(0.374897+1325.55241*M112 - INT(0.374897+1325.55241*M112))</f>
        <v>2.53248184142884</v>
      </c>
      <c r="R112" s="26" t="n">
        <f aca="false">2*PI()*(0.99312619+99.99735956*M112 - 0.00000044*M112^2 - INT(0.99312619+99.99735956*M112- 0.00000044*M112^2))</f>
        <v>4.88582534056603</v>
      </c>
      <c r="S112" s="26" t="n">
        <f aca="false">2*PI()*(0.827361+1236.853086*M112 - INT(0.827361+1236.853086*M112))</f>
        <v>4.05460364178576</v>
      </c>
      <c r="T112" s="26" t="n">
        <f aca="false">2*PI()*(0.259086+1342.227825*M112 - INT(0.259086+1342.227825*M112))</f>
        <v>0.545081636630215</v>
      </c>
      <c r="U112" s="26" t="n">
        <f aca="false">T112+(P112+412*SIN(2*T112)+541*SIN(R112))/206264.8062</f>
        <v>0.601137318155782</v>
      </c>
      <c r="V112" s="26" t="n">
        <f aca="false">T112-2*S112</f>
        <v>-7.56412564694131</v>
      </c>
      <c r="W112" s="25" t="n">
        <f aca="false">-526*SIN(V112)+44*SIN(Q112+V112)-31*SIN(-Q112+V112)-23*SIN(R112+V112)+11*SIN(-R112+V112)-25*SIN(-2*Q112+T112)+21*SIN(-Q112+T112)</f>
        <v>494.353905420684</v>
      </c>
      <c r="X112" s="26" t="n">
        <f aca="false">2*PI()*(O112+P112/1296000-INT(O112+P112/1296000))</f>
        <v>1.37601576592813</v>
      </c>
      <c r="Y112" s="26" t="n">
        <f aca="false">(18520*SIN(U112)+W112)/206264.8062</f>
        <v>0.0531787758711291</v>
      </c>
      <c r="Z112" s="26" t="n">
        <f aca="false">Y112*180/PI()</f>
        <v>3.04691941708783</v>
      </c>
      <c r="AA112" s="26" t="n">
        <f aca="false">COS(Y112)*COS(X112)</f>
        <v>0.193277634794049</v>
      </c>
      <c r="AB112" s="26" t="n">
        <f aca="false">COS(Y112)*SIN(X112)</f>
        <v>0.979703240021213</v>
      </c>
      <c r="AC112" s="26" t="n">
        <f aca="false">SIN(Y112)</f>
        <v>0.0531537146430687</v>
      </c>
      <c r="AD112" s="26" t="n">
        <f aca="false">COS($A$4*(23.4393-46.815*M112/3600))*AB112-SIN($A$4*(23.4393-46.815*M112/3600))*AC112</f>
        <v>0.877739421458229</v>
      </c>
      <c r="AE112" s="26" t="n">
        <f aca="false">SIN($A$4*(23.4393-46.815*M112/3600))*AB112+COS($A$4*(23.4393-46.815*M112/3600))*AC112</f>
        <v>0.438425893289382</v>
      </c>
      <c r="AF112" s="26" t="n">
        <f aca="false">SQRT(1-AE112*AE112)</f>
        <v>0.898767342582833</v>
      </c>
      <c r="AG112" s="10" t="n">
        <f aca="false">ATAN(AE112/AF112)/$A$4</f>
        <v>26.0034899986493</v>
      </c>
      <c r="AH112" s="26" t="n">
        <f aca="false">IF(24*ATAN(AD112/(AA112+AF112))/PI()&gt;0,24*ATAN(AD112/(AA112+AF112))/PI(),24*ATAN(AD112/(AA112+AF112))/PI()+24)</f>
        <v>5.1721125510314</v>
      </c>
      <c r="AI112" s="10" t="n">
        <f aca="false">IF(N112-15*AH112&gt;0,N112-15*AH112,360+N112-15*AH112)</f>
        <v>215.682744351061</v>
      </c>
      <c r="AJ112" s="18" t="n">
        <f aca="false">0.950724+0.051818*COS(Q112)+0.009531*COS(2*S112-Q112)+0.007843*COS(2*S112)+0.002824*COS(2*Q112)+0.000857*COS(2*S112+Q112)+0.000533*COS(2*S112-R112)+0.000401*COS(2*S112-R112-Q112)+0.00032*COS(Q112-R112)-0.000271*COS(S112)</f>
        <v>0.913890977340551</v>
      </c>
      <c r="AK112" s="50" t="n">
        <f aca="false">ASIN(COS($A$4*$G$2)*COS($A$4*AG112)*COS($A$4*AI112)+SIN($A$4*$G$2)*SIN($A$4*AG112))/$A$4</f>
        <v>-57.4907520244393</v>
      </c>
      <c r="AL112" s="18" t="n">
        <f aca="false">ASIN((0.9983271+0.0016764*COS($A$4*2*$G$2))*COS($A$4*AK112)*SIN($A$4*AJ112))/$A$4</f>
        <v>0.490893163658823</v>
      </c>
      <c r="AM112" s="18" t="n">
        <f aca="false">AK112-AL112</f>
        <v>-57.9816451880982</v>
      </c>
      <c r="AN112" s="10" t="n">
        <f aca="false"> IF(280.4664567 + 360007.6982779*M112/10 + 0.03032028*M112^2/100 + M112^3/49931000&lt;0,MOD(280.4664567 + 360007.6982779*M112/10 + 0.03032028*M112^2/100 + M112^3/49931000+360,360),MOD(280.4664567 + 360007.6982779*M112/10 + 0.03032028*M112^2/100 + M112^3/49931000,360))</f>
        <v>203.270215064862</v>
      </c>
      <c r="AO112" s="27" t="n">
        <f aca="false"> AN112 + (1.9146 - 0.004817*M112 - 0.000014*M112^2)*SIN(R112)+ (0.019993 - 0.000101*M112)*SIN(2*R112)+ 0.00029*SIN(3*R112)</f>
        <v>201.378883167395</v>
      </c>
      <c r="AP112" s="18" t="n">
        <f aca="false">ACOS(COS(X112-$A$4*AO112)*COS(Y112))/$A$4</f>
        <v>122.48732402811</v>
      </c>
      <c r="AQ112" s="25" t="n">
        <f aca="false">180 - AP112 -0.1468*(1-0.0549*SIN(R112))*SIN($A$4*AP112)/(1-0.0167*SIN($A$4*AO112))</f>
        <v>57.3829423103827</v>
      </c>
      <c r="AR112" s="25" t="n">
        <f aca="false">SIN($A$4*AI112)</f>
        <v>-0.583296611414485</v>
      </c>
      <c r="AS112" s="25" t="n">
        <f aca="false">COS($A$4*AI112)*SIN($A$4*$G$2) - TAN($A$4*AG112)*COS($A$4*$G$2)</f>
        <v>-0.131654657731788</v>
      </c>
      <c r="AT112" s="25" t="n">
        <f aca="false">IF(OR(AND(AR112*AS112&gt;0), AND(AR112&lt;0,AS112&gt;0)), MOD(ATAN2(AS112,AR112)/$A$4+360,360),  ATAN2(AS112,AR112)/$A$4)</f>
        <v>257.281016656383</v>
      </c>
      <c r="AU112" s="29" t="n">
        <f aca="false">(1+SIN($A$4*H112)*SIN($A$4*AJ112))*120*ASIN(0.272481*SIN($A$4*AJ112))/$A$4</f>
        <v>29.4768849688702</v>
      </c>
      <c r="AV112" s="10" t="n">
        <f aca="false">COS(X112)</f>
        <v>0.193551250048608</v>
      </c>
      <c r="AW112" s="10" t="n">
        <f aca="false">SIN(X112)</f>
        <v>0.981090165889263</v>
      </c>
      <c r="AX112" s="30" t="n">
        <f aca="false"> 385000.56 + (-20905355*COS(Q112) - 3699111*COS(2*S112-Q112) - 2955968*COS(2*S112) - 569925*COS(2*Q112) + (1-0.002516*M112)*48888*COS(R112) - 3149*COS(2*T112)  +246158*COS(2*S112-2*Q112) -(1-0.002516*M112)*152138*COS(2*S112-R112-Q112) -170733*COS(2*S112+Q112) -(1-0.002516*M112)*204586*COS(2*S112-R112) -(1-0.002516*M112)*129620*COS(R112-Q112)  + 108743*COS(S112) +(1-0.002516*M112)*104755*COS(R112+Q112) +10321*COS(2*S112-2*T112) +79661*COS(Q112-2*T112) -34782*COS(4*S112-Q112) -23210*COS(3*Q112)  -21636*COS(4*S112-2*Q112) +(1-0.002516*M112)*24208*COS(2*S112+R112-Q112) +(1-0.002516*M112)*30824*COS(2*S112+R112) -8379*COS(S112-Q112) -(1-0.002516*M112)*16675*COS(S112+R112)  -(1-0.002516*M112)*12831*COS(2*S112-R112+Q112) -10445*COS(2*S112+2*Q112) -11650*COS(4*S112) +14403*COS(2*S112-3*Q112) -(1-0.002516*M112)*7003*COS(R112-2*Q112)  + (1-0.002516*M112)*10056*COS(2*S112-R112-2*Q112) +6322*COS(S112+Q112) -(1-0.002516*M112)*(1-0.002516*M112)*9884*COS(2*S112-2*R112) +(1-0.002516*M112)*5751*COS(R112+2*Q112) -(1-0.002516*M112)*(1-0.002516*M112)*4950*COS(2*S112-2*R112-Q112)  +4130*COS(2*S112+Q112-2*T112) -(1-0.002516*M112)*3958*COS(4*S112-R112-Q112) +3258*COS(3*S112-Q112) +(1-0.002516*M112)*2616*COS(2*S112+R112+Q112) -(1-0.002516*M112)*1897*COS(4*S112-R112-2*Q112)  -(1-0.002516*M112)*(1-0.002516*M112)*2117*COS(2*R112-Q112) +(1-0.002516*M112)*(1-0.002516*M112)*2354*COS(2*S112+2*R112-Q112) -1423*COS(4*S112+Q112) -1117*COS(4*Q112) -(1-0.002516*M112)*1571*COS(4*S112-R112)  -1739*COS(S112-2*Q112) -4421*COS(2*Q112-2*T112) +(1-0.002516*M112)*(1-0.002516*M112)*1165*COS(2*R112+Q112) +8752*COS(2*S112-Q112-2*T112))/1000</f>
        <v>399868.249294761</v>
      </c>
      <c r="AY112" s="10" t="n">
        <f aca="false">AY111+1/8</f>
        <v>14.75</v>
      </c>
      <c r="AZ112" s="17" t="n">
        <f aca="false">AZ111+1</f>
        <v>111</v>
      </c>
      <c r="BA112" s="32" t="n">
        <f aca="false">ATAN(0.99664719*TAN($A$4*input!$E$2))</f>
        <v>-0.400219206115995</v>
      </c>
      <c r="BB112" s="32" t="n">
        <f aca="false">COS(BA112)</f>
        <v>0.920975608992155</v>
      </c>
      <c r="BC112" s="32" t="n">
        <f aca="false">0.99664719*SIN(BA112)</f>
        <v>-0.388313912533463</v>
      </c>
      <c r="BD112" s="32" t="n">
        <f aca="false">6378.14/AX112</f>
        <v>0.0159506037582353</v>
      </c>
      <c r="BE112" s="33" t="n">
        <f aca="false">MOD(N112-15*AH112,360)</f>
        <v>215.682744351061</v>
      </c>
      <c r="BF112" s="27" t="n">
        <f aca="false">COS($A$4*AG112)*SIN($A$4*BE112)</f>
        <v>-0.524247945378568</v>
      </c>
      <c r="BG112" s="27" t="n">
        <f aca="false">COS($A$4*AG112)*COS($A$4*BE112)-BB112*BD112</f>
        <v>-0.744722190181998</v>
      </c>
      <c r="BH112" s="27" t="n">
        <f aca="false">SIN($A$4*AG112)-BC112*BD112</f>
        <v>0.444619734642013</v>
      </c>
      <c r="BI112" s="46" t="n">
        <f aca="false">SQRT(BF112^2+BG112^2+BH112^2)</f>
        <v>1.01347607629201</v>
      </c>
      <c r="BJ112" s="35" t="n">
        <f aca="false">AX112*BI112</f>
        <v>405256.904329012</v>
      </c>
    </row>
    <row r="113" customFormat="false" ht="15" hidden="false" customHeight="false" outlineLevel="0" collapsed="false">
      <c r="A113" s="20"/>
      <c r="B113" s="20"/>
      <c r="C113" s="15" t="n">
        <f aca="false">MOD(C112+3,24)</f>
        <v>21</v>
      </c>
      <c r="D113" s="105" t="n">
        <v>14</v>
      </c>
      <c r="E113" s="102" t="n">
        <f aca="false">input!$C$2</f>
        <v>10</v>
      </c>
      <c r="F113" s="102" t="n">
        <f aca="false">input!$D$2</f>
        <v>2022</v>
      </c>
      <c r="G113" s="0"/>
      <c r="H113" s="39" t="n">
        <f aca="false">AM113</f>
        <v>-20.0270084256556</v>
      </c>
      <c r="I113" s="48" t="n">
        <f aca="false">H113+1.02/(TAN($A$4*(H113+10.3/(H113+5.11)))*60)</f>
        <v>-20.0719561074021</v>
      </c>
      <c r="J113" s="39" t="n">
        <f aca="false">100*(1+COS($A$4*AQ113))/2</f>
        <v>75.9240366131793</v>
      </c>
      <c r="K113" s="48" t="n">
        <f aca="false">IF(AI113&gt;180,AT113-180,AT113+180)</f>
        <v>68.8448041704588</v>
      </c>
      <c r="L113" s="10" t="n">
        <f aca="false">L112+1/8</f>
        <v>2459867.375</v>
      </c>
      <c r="M113" s="49" t="n">
        <f aca="false">(L113-2451545)/36525</f>
        <v>0.227854209445585</v>
      </c>
      <c r="N113" s="15" t="n">
        <f aca="false">MOD(280.46061837+360.98564736629*(L113-2451545)+0.000387933*M113^2-M113^3/38710000+$G$4,360)</f>
        <v>338.387638537679</v>
      </c>
      <c r="O113" s="18" t="n">
        <f aca="false">0.60643382+1336.85522467*M113 - 0.00000313*M113^2 - INT(0.60643382+1336.85522467*M113 - 0.00000313*M113^2)</f>
        <v>0.214524017881161</v>
      </c>
      <c r="P113" s="15" t="n">
        <f aca="false">22640*SIN(Q113)-4586*SIN(Q113-2*S113)+2370*SIN(2*S113)+769*SIN(2*Q113)-668*SIN(R113)-412*SIN(2*T113)-212*SIN(2*Q113-2*S113)-206*SIN(Q113+R113-2*S113)+192*SIN(Q113+2*S113)-165*SIN(R113-2*S113)-125*SIN(S113)-110*SIN(Q113+R113)+148*SIN(Q113-R113)-55*SIN(2*T113-2*S113)</f>
        <v>11241.9356339319</v>
      </c>
      <c r="Q113" s="18" t="n">
        <f aca="false">2*PI()*(0.374897+1325.55241*M113 - INT(0.374897+1325.55241*M113))</f>
        <v>2.56098523440064</v>
      </c>
      <c r="R113" s="26" t="n">
        <f aca="false">2*PI()*(0.99312619+99.99735956*M113 - 0.00000044*M113^2 - INT(0.99312619+99.99735956*M113- 0.00000044*M113^2))</f>
        <v>4.88797558676413</v>
      </c>
      <c r="S113" s="26" t="n">
        <f aca="false">2*PI()*(0.827361+1236.853086*M113 - INT(0.827361+1236.853086*M113))</f>
        <v>4.08119973055069</v>
      </c>
      <c r="T113" s="26" t="n">
        <f aca="false">2*PI()*(0.259086+1342.227825*M113 - INT(0.259086+1342.227825*M113))</f>
        <v>0.573943601547974</v>
      </c>
      <c r="U113" s="26" t="n">
        <f aca="false">T113+(P113+412*SIN(2*T113)+541*SIN(R113))/206264.8062</f>
        <v>0.627684986001649</v>
      </c>
      <c r="V113" s="26" t="n">
        <f aca="false">T113-2*S113</f>
        <v>-7.5884558595534</v>
      </c>
      <c r="W113" s="25" t="n">
        <f aca="false">-526*SIN(V113)+44*SIN(Q113+V113)-31*SIN(-Q113+V113)-23*SIN(R113+V113)+11*SIN(-R113+V113)-25*SIN(-2*Q113+T113)+21*SIN(-Q113+T113)</f>
        <v>495.788488866766</v>
      </c>
      <c r="X113" s="26" t="n">
        <f aca="false">2*PI()*(O113+P113/1296000-INT(O113+P113/1296000))</f>
        <v>1.40239659916287</v>
      </c>
      <c r="Y113" s="26" t="n">
        <f aca="false">(18520*SIN(U113)+W113)/206264.8062</f>
        <v>0.0551333840690233</v>
      </c>
      <c r="Z113" s="26" t="n">
        <f aca="false">Y113*180/PI()</f>
        <v>3.15891021742884</v>
      </c>
      <c r="AA113" s="26" t="n">
        <f aca="false">COS(Y113)*COS(X113)</f>
        <v>0.167350260047022</v>
      </c>
      <c r="AB113" s="26" t="n">
        <f aca="false">COS(Y113)*SIN(X113)</f>
        <v>0.984356276497732</v>
      </c>
      <c r="AC113" s="26" t="n">
        <f aca="false">SIN(Y113)</f>
        <v>0.0551054569141283</v>
      </c>
      <c r="AD113" s="26" t="n">
        <f aca="false">COS($A$4*(23.4393-46.815*M113/3600))*AB113-SIN($A$4*(23.4393-46.815*M113/3600))*AC113</f>
        <v>0.88123232856431</v>
      </c>
      <c r="AE113" s="26" t="n">
        <f aca="false">SIN($A$4*(23.4393-46.815*M113/3600))*AB113+COS($A$4*(23.4393-46.815*M113/3600))*AC113</f>
        <v>0.44206727265804</v>
      </c>
      <c r="AF113" s="26" t="n">
        <f aca="false">SQRT(1-AE113*AE113)</f>
        <v>0.896981898615955</v>
      </c>
      <c r="AG113" s="10" t="n">
        <f aca="false">ATAN(AE113/AF113)/$A$4</f>
        <v>26.2358558308964</v>
      </c>
      <c r="AH113" s="26" t="n">
        <f aca="false">IF(24*ATAN(AD113/(AA113+AF113))/PI()&gt;0,24*ATAN(AD113/(AA113+AF113))/PI(),24*ATAN(AD113/(AA113+AF113))/PI()+24)</f>
        <v>5.2831531217697</v>
      </c>
      <c r="AI113" s="10" t="n">
        <f aca="false">IF(N113-15*AH113&gt;0,N113-15*AH113,360+N113-15*AH113)</f>
        <v>259.140341711133</v>
      </c>
      <c r="AJ113" s="18" t="n">
        <f aca="false">0.950724+0.051818*COS(Q113)+0.009531*COS(2*S113-Q113)+0.007843*COS(2*S113)+0.002824*COS(2*Q113)+0.000857*COS(2*S113+Q113)+0.000533*COS(2*S113-R113)+0.000401*COS(2*S113-R113-Q113)+0.00032*COS(Q113-R113)-0.000271*COS(S113)</f>
        <v>0.913026538757807</v>
      </c>
      <c r="AK113" s="50" t="n">
        <f aca="false">ASIN(COS($A$4*$G$2)*COS($A$4*AG113)*COS($A$4*AI113)+SIN($A$4*$G$2)*SIN($A$4*AG113))/$A$4</f>
        <v>-19.1650270180976</v>
      </c>
      <c r="AL113" s="18" t="n">
        <f aca="false">ASIN((0.9983271+0.0016764*COS($A$4*2*$G$2))*COS($A$4*AK113)*SIN($A$4*AJ113))/$A$4</f>
        <v>0.861981407558054</v>
      </c>
      <c r="AM113" s="18" t="n">
        <f aca="false">AK113-AL113</f>
        <v>-20.0270084256556</v>
      </c>
      <c r="AN113" s="10" t="n">
        <f aca="false"> IF(280.4664567 + 360007.6982779*M113/10 + 0.03032028*M113^2/100 + M113^3/49931000&lt;0,MOD(280.4664567 + 360007.6982779*M113/10 + 0.03032028*M113^2/100 + M113^3/49931000+360,360),MOD(280.4664567 + 360007.6982779*M113/10 + 0.03032028*M113^2/100 + M113^3/49931000,360))</f>
        <v>203.393420985347</v>
      </c>
      <c r="AO113" s="27" t="n">
        <f aca="false"> AN113 + (1.9146 - 0.004817*M113 - 0.000014*M113^2)*SIN(R113)+ (0.019993 - 0.000101*M113)*SIN(2*R113)+ 0.00029*SIN(3*R113)</f>
        <v>201.502721854641</v>
      </c>
      <c r="AP113" s="18" t="n">
        <f aca="false">ACOS(COS(X113-$A$4*AO113)*COS(Y113))/$A$4</f>
        <v>121.098706573244</v>
      </c>
      <c r="AQ113" s="25" t="n">
        <f aca="false">180 - AP113 -0.1468*(1-0.0549*SIN(R113))*SIN($A$4*AP113)/(1-0.0167*SIN($A$4*AO113))</f>
        <v>58.7696029094085</v>
      </c>
      <c r="AR113" s="25" t="n">
        <f aca="false">SIN($A$4*AI113)</f>
        <v>-0.98209161056757</v>
      </c>
      <c r="AS113" s="25" t="n">
        <f aca="false">COS($A$4*AI113)*SIN($A$4*$G$2) - TAN($A$4*AG113)*COS($A$4*$G$2)</f>
        <v>-0.380044983173772</v>
      </c>
      <c r="AT113" s="25" t="n">
        <f aca="false">IF(OR(AND(AR113*AS113&gt;0), AND(AR113&lt;0,AS113&gt;0)), MOD(ATAN2(AS113,AR113)/$A$4+360,360),  ATAN2(AS113,AR113)/$A$4)</f>
        <v>248.844804170459</v>
      </c>
      <c r="AU113" s="29" t="n">
        <f aca="false">(1+SIN($A$4*H113)*SIN($A$4*AJ113))*120*ASIN(0.272481*SIN($A$4*AJ113))/$A$4</f>
        <v>29.6898093543232</v>
      </c>
      <c r="AV113" s="10" t="n">
        <f aca="false">COS(X113)</f>
        <v>0.167604929044292</v>
      </c>
      <c r="AW113" s="10" t="n">
        <f aca="false">SIN(X113)</f>
        <v>0.985854242654591</v>
      </c>
      <c r="AX113" s="30" t="n">
        <f aca="false"> 385000.56 + (-20905355*COS(Q113) - 3699111*COS(2*S113-Q113) - 2955968*COS(2*S113) - 569925*COS(2*Q113) + (1-0.002516*M113)*48888*COS(R113) - 3149*COS(2*T113)  +246158*COS(2*S113-2*Q113) -(1-0.002516*M113)*152138*COS(2*S113-R113-Q113) -170733*COS(2*S113+Q113) -(1-0.002516*M113)*204586*COS(2*S113-R113) -(1-0.002516*M113)*129620*COS(R113-Q113)  + 108743*COS(S113) +(1-0.002516*M113)*104755*COS(R113+Q113) +10321*COS(2*S113-2*T113) +79661*COS(Q113-2*T113) -34782*COS(4*S113-Q113) -23210*COS(3*Q113)  -21636*COS(4*S113-2*Q113) +(1-0.002516*M113)*24208*COS(2*S113+R113-Q113) +(1-0.002516*M113)*30824*COS(2*S113+R113) -8379*COS(S113-Q113) -(1-0.002516*M113)*16675*COS(S113+R113)  -(1-0.002516*M113)*12831*COS(2*S113-R113+Q113) -10445*COS(2*S113+2*Q113) -11650*COS(4*S113) +14403*COS(2*S113-3*Q113) -(1-0.002516*M113)*7003*COS(R113-2*Q113)  + (1-0.002516*M113)*10056*COS(2*S113-R113-2*Q113) +6322*COS(S113+Q113) -(1-0.002516*M113)*(1-0.002516*M113)*9884*COS(2*S113-2*R113) +(1-0.002516*M113)*5751*COS(R113+2*Q113) -(1-0.002516*M113)*(1-0.002516*M113)*4950*COS(2*S113-2*R113-Q113)  +4130*COS(2*S113+Q113-2*T113) -(1-0.002516*M113)*3958*COS(4*S113-R113-Q113) +3258*COS(3*S113-Q113) +(1-0.002516*M113)*2616*COS(2*S113+R113+Q113) -(1-0.002516*M113)*1897*COS(4*S113-R113-2*Q113)  -(1-0.002516*M113)*(1-0.002516*M113)*2117*COS(2*R113-Q113) +(1-0.002516*M113)*(1-0.002516*M113)*2354*COS(2*S113+2*R113-Q113) -1423*COS(4*S113+Q113) -1117*COS(4*Q113) -(1-0.002516*M113)*1571*COS(4*S113-R113)  -1739*COS(S113-2*Q113) -4421*COS(2*Q113-2*T113) +(1-0.002516*M113)*(1-0.002516*M113)*1165*COS(2*R113+Q113) +8752*COS(2*S113-Q113-2*T113))/1000</f>
        <v>400254.573473016</v>
      </c>
      <c r="AY113" s="10" t="n">
        <f aca="false">AY112+1/8</f>
        <v>14.875</v>
      </c>
      <c r="AZ113" s="17" t="n">
        <f aca="false">AZ112+1</f>
        <v>112</v>
      </c>
      <c r="BA113" s="32" t="n">
        <f aca="false">ATAN(0.99664719*TAN($A$4*input!$E$2))</f>
        <v>-0.400219206115995</v>
      </c>
      <c r="BB113" s="32" t="n">
        <f aca="false">COS(BA113)</f>
        <v>0.920975608992155</v>
      </c>
      <c r="BC113" s="32" t="n">
        <f aca="false">0.99664719*SIN(BA113)</f>
        <v>-0.388313912533463</v>
      </c>
      <c r="BD113" s="32" t="n">
        <f aca="false">6378.14/AX113</f>
        <v>0.0159352082967017</v>
      </c>
      <c r="BE113" s="33" t="n">
        <f aca="false">MOD(N113-15*AH113,360)</f>
        <v>259.140341711133</v>
      </c>
      <c r="BF113" s="27" t="n">
        <f aca="false">COS($A$4*AG113)*SIN($A$4*BE113)</f>
        <v>-0.8809183974617</v>
      </c>
      <c r="BG113" s="27" t="n">
        <f aca="false">COS($A$4*AG113)*COS($A$4*BE113)-BB113*BD113</f>
        <v>-0.183670918736472</v>
      </c>
      <c r="BH113" s="27" t="n">
        <f aca="false">SIN($A$4*AG113)-BC113*BD113</f>
        <v>0.448255135738768</v>
      </c>
      <c r="BI113" s="46" t="n">
        <f aca="false">SQRT(BF113^2+BG113^2+BH113^2)</f>
        <v>1.00532825290657</v>
      </c>
      <c r="BJ113" s="35" t="n">
        <f aca="false">AX113*BI113</f>
        <v>402387.231067491</v>
      </c>
    </row>
    <row r="114" customFormat="false" ht="15" hidden="false" customHeight="false" outlineLevel="0" collapsed="false">
      <c r="A114" s="20"/>
      <c r="B114" s="20"/>
      <c r="C114" s="15" t="n">
        <f aca="false">MOD(C113+3,24)</f>
        <v>0</v>
      </c>
      <c r="D114" s="36" t="n">
        <v>15</v>
      </c>
      <c r="E114" s="102" t="n">
        <f aca="false">input!$C$2</f>
        <v>10</v>
      </c>
      <c r="F114" s="102" t="n">
        <f aca="false">input!$D$2</f>
        <v>2022</v>
      </c>
      <c r="H114" s="39" t="n">
        <f aca="false">AM114</f>
        <v>14.7829741426951</v>
      </c>
      <c r="I114" s="48" t="n">
        <f aca="false">H114+1.02/(TAN($A$4*(H114+10.3/(H114+5.11)))*60)</f>
        <v>14.8451125027372</v>
      </c>
      <c r="J114" s="39" t="n">
        <f aca="false">100*(1+COS($A$4*AQ114))/2</f>
        <v>74.8840283123229</v>
      </c>
      <c r="K114" s="48" t="n">
        <f aca="false">IF(AI114&gt;180,AT114-180,AT114+180)</f>
        <v>51.573149299166</v>
      </c>
      <c r="L114" s="10" t="n">
        <f aca="false">L113+1/8</f>
        <v>2459867.5</v>
      </c>
      <c r="M114" s="49" t="n">
        <f aca="false">(L114-2451545)/36525</f>
        <v>0.227857631759069</v>
      </c>
      <c r="N114" s="15" t="n">
        <f aca="false">MOD(280.46061837+360.98564736629*(L114-2451545)+0.000387933*M114^2-M114^3/38710000+$G$4,360)</f>
        <v>23.5108444592915</v>
      </c>
      <c r="O114" s="18" t="n">
        <f aca="false">0.60643382+1336.85522467*M114 - 0.00000313*M114^2 - INT(0.60643382+1336.85522467*M114 - 0.00000313*M114^2)</f>
        <v>0.21909915553772</v>
      </c>
      <c r="P114" s="15" t="n">
        <f aca="false">22640*SIN(Q114)-4586*SIN(Q114-2*S114)+2370*SIN(2*S114)+769*SIN(2*Q114)-668*SIN(R114)-412*SIN(2*T114)-212*SIN(2*Q114-2*S114)-206*SIN(Q114+R114-2*S114)+192*SIN(Q114+2*S114)-165*SIN(R114-2*S114)-125*SIN(S114)-110*SIN(Q114+R114)+148*SIN(Q114-R114)-55*SIN(2*T114-2*S114)</f>
        <v>10744.1390395996</v>
      </c>
      <c r="Q114" s="18" t="n">
        <f aca="false">2*PI()*(0.374897+1325.55241*M114 - INT(0.374897+1325.55241*M114))</f>
        <v>2.58948862737244</v>
      </c>
      <c r="R114" s="26" t="n">
        <f aca="false">2*PI()*(0.99312619+99.99735956*M114 - 0.00000044*M114^2 - INT(0.99312619+99.99735956*M114- 0.00000044*M114^2))</f>
        <v>4.89012583296222</v>
      </c>
      <c r="S114" s="26" t="n">
        <f aca="false">2*PI()*(0.827361+1236.853086*M114 - INT(0.827361+1236.853086*M114))</f>
        <v>4.10779581931525</v>
      </c>
      <c r="T114" s="26" t="n">
        <f aca="false">2*PI()*(0.259086+1342.227825*M114 - INT(0.259086+1342.227825*M114))</f>
        <v>0.602805566465377</v>
      </c>
      <c r="U114" s="26" t="n">
        <f aca="false">T114+(P114+412*SIN(2*T114)+541*SIN(R114))/206264.8062</f>
        <v>0.654178816759268</v>
      </c>
      <c r="V114" s="26" t="n">
        <f aca="false">T114-2*S114</f>
        <v>-7.61278607216513</v>
      </c>
      <c r="W114" s="25" t="n">
        <f aca="false">-526*SIN(V114)+44*SIN(Q114+V114)-31*SIN(-Q114+V114)-23*SIN(R114+V114)+11*SIN(-R114+V114)-25*SIN(-2*Q114+T114)+21*SIN(-Q114+T114)</f>
        <v>496.993262263836</v>
      </c>
      <c r="X114" s="26" t="n">
        <f aca="false">2*PI()*(O114+P114/1296000-INT(O114+P114/1296000))</f>
        <v>1.42872965087146</v>
      </c>
      <c r="Y114" s="26" t="n">
        <f aca="false">(18520*SIN(U114)+W114)/206264.8062</f>
        <v>0.0570458816577196</v>
      </c>
      <c r="Z114" s="26" t="n">
        <f aca="false">Y114*180/PI()</f>
        <v>3.26848825759009</v>
      </c>
      <c r="AA114" s="26" t="n">
        <f aca="false">COS(Y114)*COS(X114)</f>
        <v>0.141358950999523</v>
      </c>
      <c r="AB114" s="26" t="n">
        <f aca="false">COS(Y114)*SIN(X114)</f>
        <v>0.988315204191896</v>
      </c>
      <c r="AC114" s="26" t="n">
        <f aca="false">SIN(Y114)</f>
        <v>0.0570149465968776</v>
      </c>
      <c r="AD114" s="26" t="n">
        <f aca="false">COS($A$4*(23.4393-46.815*M114/3600))*AB114-SIN($A$4*(23.4393-46.815*M114/3600))*AC114</f>
        <v>0.884105194199608</v>
      </c>
      <c r="AE114" s="26" t="n">
        <f aca="false">SIN($A$4*(23.4393-46.815*M114/3600))*AB114+COS($A$4*(23.4393-46.815*M114/3600))*AC114</f>
        <v>0.445393817381413</v>
      </c>
      <c r="AF114" s="26" t="n">
        <f aca="false">SQRT(1-AE114*AE114)</f>
        <v>0.895334768362322</v>
      </c>
      <c r="AG114" s="10" t="n">
        <f aca="false">ATAN(AE114/AF114)/$A$4</f>
        <v>26.448537839238</v>
      </c>
      <c r="AH114" s="26" t="n">
        <f aca="false">IF(24*ATAN(AD114/(AA114+AF114))/PI()&gt;0,24*ATAN(AD114/(AA114+AF114))/PI(),24*ATAN(AD114/(AA114+AF114))/PI()+24)</f>
        <v>5.39439387456134</v>
      </c>
      <c r="AI114" s="10" t="n">
        <f aca="false">IF(N114-15*AH114&gt;0,N114-15*AH114,360+N114-15*AH114)</f>
        <v>302.594936340871</v>
      </c>
      <c r="AJ114" s="18" t="n">
        <f aca="false">0.950724+0.051818*COS(Q114)+0.009531*COS(2*S114-Q114)+0.007843*COS(2*S114)+0.002824*COS(2*Q114)+0.000857*COS(2*S114+Q114)+0.000533*COS(2*S114-R114)+0.000401*COS(2*S114-R114-Q114)+0.00032*COS(Q114-R114)-0.000271*COS(S114)</f>
        <v>0.912198666733642</v>
      </c>
      <c r="AK114" s="50" t="n">
        <f aca="false">ASIN(COS($A$4*$G$2)*COS($A$4*AG114)*COS($A$4*AI114)+SIN($A$4*$G$2)*SIN($A$4*AG114))/$A$4</f>
        <v>15.660859429764</v>
      </c>
      <c r="AL114" s="18" t="n">
        <f aca="false">ASIN((0.9983271+0.0016764*COS($A$4*2*$G$2))*COS($A$4*AK114)*SIN($A$4*AJ114))/$A$4</f>
        <v>0.877885287068848</v>
      </c>
      <c r="AM114" s="18" t="n">
        <f aca="false">AK114-AL114</f>
        <v>14.7829741426951</v>
      </c>
      <c r="AN114" s="10" t="n">
        <f aca="false"> IF(280.4664567 + 360007.6982779*M114/10 + 0.03032028*M114^2/100 + M114^3/49931000&lt;0,MOD(280.4664567 + 360007.6982779*M114/10 + 0.03032028*M114^2/100 + M114^3/49931000+360,360),MOD(280.4664567 + 360007.6982779*M114/10 + 0.03032028*M114^2/100 + M114^3/49931000,360))</f>
        <v>203.516626905834</v>
      </c>
      <c r="AO114" s="27" t="n">
        <f aca="false"> AN114 + (1.9146 - 0.004817*M114 - 0.000014*M114^2)*SIN(R114)+ (0.019993 - 0.000101*M114)*SIN(2*R114)+ 0.00029*SIN(3*R114)</f>
        <v>201.626569369648</v>
      </c>
      <c r="AP114" s="18" t="n">
        <f aca="false">ACOS(COS(X114-$A$4*AO114)*COS(Y114))/$A$4</f>
        <v>119.713099985249</v>
      </c>
      <c r="AQ114" s="25" t="n">
        <f aca="false">180 - AP114 -0.1468*(1-0.0549*SIN(R114))*SIN($A$4*AP114)/(1-0.0167*SIN($A$4*AO114))</f>
        <v>60.1533342268675</v>
      </c>
      <c r="AR114" s="25" t="n">
        <f aca="false">SIN($A$4*AI114)</f>
        <v>-0.842500008945039</v>
      </c>
      <c r="AS114" s="25" t="n">
        <f aca="false">COS($A$4*AI114)*SIN($A$4*$G$2) - TAN($A$4*AG114)*COS($A$4*$G$2)</f>
        <v>-0.668400368875475</v>
      </c>
      <c r="AT114" s="25" t="n">
        <f aca="false">IF(OR(AND(AR114*AS114&gt;0), AND(AR114&lt;0,AS114&gt;0)), MOD(ATAN2(AS114,AR114)/$A$4+360,360),  ATAN2(AS114,AR114)/$A$4)</f>
        <v>231.573149299166</v>
      </c>
      <c r="AU114" s="29" t="n">
        <f aca="false">(1+SIN($A$4*H114)*SIN($A$4*AJ114))*120*ASIN(0.272481*SIN($A$4*AJ114))/$A$4</f>
        <v>29.9468070415229</v>
      </c>
      <c r="AV114" s="10" t="n">
        <f aca="false">COS(X114)</f>
        <v>0.141589270741184</v>
      </c>
      <c r="AW114" s="10" t="n">
        <f aca="false">SIN(X114)</f>
        <v>0.989925491343151</v>
      </c>
      <c r="AX114" s="30" t="n">
        <f aca="false"> 385000.56 + (-20905355*COS(Q114) - 3699111*COS(2*S114-Q114) - 2955968*COS(2*S114) - 569925*COS(2*Q114) + (1-0.002516*M114)*48888*COS(R114) - 3149*COS(2*T114)  +246158*COS(2*S114-2*Q114) -(1-0.002516*M114)*152138*COS(2*S114-R114-Q114) -170733*COS(2*S114+Q114) -(1-0.002516*M114)*204586*COS(2*S114-R114) -(1-0.002516*M114)*129620*COS(R114-Q114)  + 108743*COS(S114) +(1-0.002516*M114)*104755*COS(R114+Q114) +10321*COS(2*S114-2*T114) +79661*COS(Q114-2*T114) -34782*COS(4*S114-Q114) -23210*COS(3*Q114)  -21636*COS(4*S114-2*Q114) +(1-0.002516*M114)*24208*COS(2*S114+R114-Q114) +(1-0.002516*M114)*30824*COS(2*S114+R114) -8379*COS(S114-Q114) -(1-0.002516*M114)*16675*COS(S114+R114)  -(1-0.002516*M114)*12831*COS(2*S114-R114+Q114) -10445*COS(2*S114+2*Q114) -11650*COS(4*S114) +14403*COS(2*S114-3*Q114) -(1-0.002516*M114)*7003*COS(R114-2*Q114)  + (1-0.002516*M114)*10056*COS(2*S114-R114-2*Q114) +6322*COS(S114+Q114) -(1-0.002516*M114)*(1-0.002516*M114)*9884*COS(2*S114-2*R114) +(1-0.002516*M114)*5751*COS(R114+2*Q114) -(1-0.002516*M114)*(1-0.002516*M114)*4950*COS(2*S114-2*R114-Q114)  +4130*COS(2*S114+Q114-2*T114) -(1-0.002516*M114)*3958*COS(4*S114-R114-Q114) +3258*COS(3*S114-Q114) +(1-0.002516*M114)*2616*COS(2*S114+R114+Q114) -(1-0.002516*M114)*1897*COS(4*S114-R114-2*Q114)  -(1-0.002516*M114)*(1-0.002516*M114)*2117*COS(2*R114-Q114) +(1-0.002516*M114)*(1-0.002516*M114)*2354*COS(2*S114+2*R114-Q114) -1423*COS(4*S114+Q114) -1117*COS(4*Q114) -(1-0.002516*M114)*1571*COS(4*S114-R114)  -1739*COS(S114-2*Q114) -4421*COS(2*Q114-2*T114) +(1-0.002516*M114)*(1-0.002516*M114)*1165*COS(2*R114+Q114) +8752*COS(2*S114-Q114-2*T114))/1000</f>
        <v>400625.949375023</v>
      </c>
      <c r="AY114" s="10" t="n">
        <f aca="false">AY113+1/8</f>
        <v>15</v>
      </c>
      <c r="AZ114" s="17" t="n">
        <f aca="false">AZ113+1</f>
        <v>113</v>
      </c>
      <c r="BA114" s="32" t="n">
        <f aca="false">ATAN(0.99664719*TAN($A$4*input!$E$2))</f>
        <v>-0.400219206115995</v>
      </c>
      <c r="BB114" s="32" t="n">
        <f aca="false">COS(BA114)</f>
        <v>0.920975608992155</v>
      </c>
      <c r="BC114" s="32" t="n">
        <f aca="false">0.99664719*SIN(BA114)</f>
        <v>-0.388313912533463</v>
      </c>
      <c r="BD114" s="32" t="n">
        <f aca="false">6378.14/AX114</f>
        <v>0.0159204365317571</v>
      </c>
      <c r="BE114" s="33" t="n">
        <f aca="false">MOD(N114-15*AH114,360)</f>
        <v>302.594936340871</v>
      </c>
      <c r="BF114" s="27" t="n">
        <f aca="false">COS($A$4*AG114)*SIN($A$4*BE114)</f>
        <v>-0.754319550354061</v>
      </c>
      <c r="BG114" s="27" t="n">
        <f aca="false">COS($A$4*AG114)*COS($A$4*BE114)-BB114*BD114</f>
        <v>0.467651219253755</v>
      </c>
      <c r="BH114" s="27" t="n">
        <f aca="false">SIN($A$4*AG114)-BC114*BD114</f>
        <v>0.4515759443803</v>
      </c>
      <c r="BI114" s="46" t="n">
        <f aca="false">SQRT(BF114^2+BG114^2+BH114^2)</f>
        <v>0.995799417783941</v>
      </c>
      <c r="BJ114" s="35" t="n">
        <f aca="false">AX114*BI114</f>
        <v>398943.087136786</v>
      </c>
    </row>
    <row r="115" customFormat="false" ht="15" hidden="false" customHeight="false" outlineLevel="0" collapsed="false">
      <c r="A115" s="20"/>
      <c r="B115" s="20"/>
      <c r="C115" s="15" t="n">
        <f aca="false">MOD(C114+3,24)</f>
        <v>3</v>
      </c>
      <c r="D115" s="17" t="n">
        <v>15</v>
      </c>
      <c r="E115" s="102" t="n">
        <f aca="false">input!$C$2</f>
        <v>10</v>
      </c>
      <c r="F115" s="102" t="n">
        <f aca="false">input!$D$2</f>
        <v>2022</v>
      </c>
      <c r="H115" s="39" t="n">
        <f aca="false">AM115</f>
        <v>37.8445890021365</v>
      </c>
      <c r="I115" s="48" t="n">
        <f aca="false">H115+1.02/(TAN($A$4*(H115+10.3/(H115+5.11)))*60)</f>
        <v>37.866282084981</v>
      </c>
      <c r="J115" s="39" t="n">
        <f aca="false">100*(1+COS($A$4*AQ115))/2</f>
        <v>73.8316480060858</v>
      </c>
      <c r="K115" s="48" t="n">
        <f aca="false">IF(AI115&gt;180,AT115-180,AT115+180)</f>
        <v>15.9986209683367</v>
      </c>
      <c r="L115" s="10" t="n">
        <f aca="false">L114+1/8</f>
        <v>2459867.625</v>
      </c>
      <c r="M115" s="49" t="n">
        <f aca="false">(L115-2451545)/36525</f>
        <v>0.227861054072553</v>
      </c>
      <c r="N115" s="15" t="n">
        <f aca="false">MOD(280.46061837+360.98564736629*(L115-2451545)+0.000387933*M115^2-M115^3/38710000+$G$4,360)</f>
        <v>68.6340503804386</v>
      </c>
      <c r="O115" s="18" t="n">
        <f aca="false">0.60643382+1336.85522467*M115 - 0.00000313*M115^2 - INT(0.60643382+1336.85522467*M115 - 0.00000313*M115^2)</f>
        <v>0.223674293194335</v>
      </c>
      <c r="P115" s="15" t="n">
        <f aca="false">22640*SIN(Q115)-4586*SIN(Q115-2*S115)+2370*SIN(2*S115)+769*SIN(2*Q115)-668*SIN(R115)-412*SIN(2*T115)-212*SIN(2*Q115-2*S115)-206*SIN(Q115+R115-2*S115)+192*SIN(Q115+2*S115)-165*SIN(R115-2*S115)-125*SIN(S115)-110*SIN(Q115+R115)+148*SIN(Q115-R115)-55*SIN(2*T115-2*S115)</f>
        <v>10237.0078393153</v>
      </c>
      <c r="Q115" s="18" t="n">
        <f aca="false">2*PI()*(0.374897+1325.55241*M115 - INT(0.374897+1325.55241*M115))</f>
        <v>2.61799202034459</v>
      </c>
      <c r="R115" s="26" t="n">
        <f aca="false">2*PI()*(0.99312619+99.99735956*M115 - 0.00000044*M115^2 - INT(0.99312619+99.99735956*M115- 0.00000044*M115^2))</f>
        <v>4.89227607916034</v>
      </c>
      <c r="S115" s="26" t="n">
        <f aca="false">2*PI()*(0.827361+1236.853086*M115 - INT(0.827361+1236.853086*M115))</f>
        <v>4.13439190808053</v>
      </c>
      <c r="T115" s="26" t="n">
        <f aca="false">2*PI()*(0.259086+1342.227825*M115 - INT(0.259086+1342.227825*M115))</f>
        <v>0.631667531383136</v>
      </c>
      <c r="U115" s="26" t="n">
        <f aca="false">T115+(P115+412*SIN(2*T115)+541*SIN(R115))/206264.8062</f>
        <v>0.680621189066235</v>
      </c>
      <c r="V115" s="26" t="n">
        <f aca="false">T115-2*S115</f>
        <v>-7.63711628477793</v>
      </c>
      <c r="W115" s="25" t="n">
        <f aca="false">-526*SIN(V115)+44*SIN(Q115+V115)-31*SIN(-Q115+V115)-23*SIN(R115+V115)+11*SIN(-R115+V115)-25*SIN(-2*Q115+T115)+21*SIN(-Q115+T115)</f>
        <v>497.97018166984</v>
      </c>
      <c r="X115" s="26" t="n">
        <f aca="false">2*PI()*(O115+P115/1296000-INT(O115+P115/1296000))</f>
        <v>1.45501744713368</v>
      </c>
      <c r="Y115" s="26" t="n">
        <f aca="false">(18520*SIN(U115)+W115)/206264.8062</f>
        <v>0.0589153355208468</v>
      </c>
      <c r="Z115" s="26" t="n">
        <f aca="false">Y115*180/PI()</f>
        <v>3.37560007394171</v>
      </c>
      <c r="AA115" s="26" t="n">
        <f aca="false">COS(Y115)*COS(X115)</f>
        <v>0.11531995988479</v>
      </c>
      <c r="AB115" s="26" t="n">
        <f aca="false">COS(Y115)*SIN(X115)</f>
        <v>0.991581718377397</v>
      </c>
      <c r="AC115" s="26" t="n">
        <f aca="false">SIN(Y115)</f>
        <v>0.0588812587492723</v>
      </c>
      <c r="AD115" s="26" t="n">
        <f aca="false">COS($A$4*(23.4393-46.815*M115/3600))*AB115-SIN($A$4*(23.4393-46.815*M115/3600))*AC115</f>
        <v>0.886359941658418</v>
      </c>
      <c r="AE115" s="26" t="n">
        <f aca="false">SIN($A$4*(23.4393-46.815*M115/3600))*AB115+COS($A$4*(23.4393-46.815*M115/3600))*AC115</f>
        <v>0.448405353085193</v>
      </c>
      <c r="AF115" s="26" t="n">
        <f aca="false">SQRT(1-AE115*AE115)</f>
        <v>0.893830319090007</v>
      </c>
      <c r="AG115" s="10" t="n">
        <f aca="false">ATAN(AE115/AF115)/$A$4</f>
        <v>26.6414190036829</v>
      </c>
      <c r="AH115" s="26" t="n">
        <f aca="false">IF(24*ATAN(AD115/(AA115+AF115))/PI()&gt;0,24*ATAN(AD115/(AA115+AF115))/PI(),24*ATAN(AD115/(AA115+AF115))/PI()+24)</f>
        <v>5.50581103598871</v>
      </c>
      <c r="AI115" s="10" t="n">
        <f aca="false">IF(N115-15*AH115&gt;0,N115-15*AH115,360+N115-15*AH115)</f>
        <v>346.046884840608</v>
      </c>
      <c r="AJ115" s="18" t="n">
        <f aca="false">0.950724+0.051818*COS(Q115)+0.009531*COS(2*S115-Q115)+0.007843*COS(2*S115)+0.002824*COS(2*Q115)+0.000857*COS(2*S115+Q115)+0.000533*COS(2*S115-R115)+0.000401*COS(2*S115-R115-Q115)+0.00032*COS(Q115-R115)-0.000271*COS(S115)</f>
        <v>0.911408094122995</v>
      </c>
      <c r="AK115" s="50" t="n">
        <f aca="false">ASIN(COS($A$4*$G$2)*COS($A$4*AG115)*COS($A$4*AI115)+SIN($A$4*$G$2)*SIN($A$4*AG115))/$A$4</f>
        <v>38.5569263376533</v>
      </c>
      <c r="AL115" s="18" t="n">
        <f aca="false">ASIN((0.9983271+0.0016764*COS($A$4*2*$G$2))*COS($A$4*AK115)*SIN($A$4*AJ115))/$A$4</f>
        <v>0.712337335516782</v>
      </c>
      <c r="AM115" s="18" t="n">
        <f aca="false">AK115-AL115</f>
        <v>37.8445890021365</v>
      </c>
      <c r="AN115" s="10" t="n">
        <f aca="false"> IF(280.4664567 + 360007.6982779*M115/10 + 0.03032028*M115^2/100 + M115^3/49931000&lt;0,MOD(280.4664567 + 360007.6982779*M115/10 + 0.03032028*M115^2/100 + M115^3/49931000+360,360),MOD(280.4664567 + 360007.6982779*M115/10 + 0.03032028*M115^2/100 + M115^3/49931000,360))</f>
        <v>203.639832826319</v>
      </c>
      <c r="AO115" s="27" t="n">
        <f aca="false"> AN115 + (1.9146 - 0.004817*M115 - 0.000014*M115^2)*SIN(R115)+ (0.019993 - 0.000101*M115)*SIN(2*R115)+ 0.00029*SIN(3*R115)</f>
        <v>201.7504257106</v>
      </c>
      <c r="AP115" s="18" t="n">
        <f aca="false">ACOS(COS(X115-$A$4*AO115)*COS(Y115))/$A$4</f>
        <v>118.330366182055</v>
      </c>
      <c r="AQ115" s="25" t="n">
        <f aca="false">180 - AP115 -0.1468*(1-0.0549*SIN(R115))*SIN($A$4*AP115)/(1-0.0167*SIN($A$4*AO115))</f>
        <v>61.5342747523248</v>
      </c>
      <c r="AR115" s="25" t="n">
        <f aca="false">SIN($A$4*AI115)</f>
        <v>-0.241127826708021</v>
      </c>
      <c r="AS115" s="25" t="n">
        <f aca="false">COS($A$4*AI115)*SIN($A$4*$G$2) - TAN($A$4*AG115)*COS($A$4*$G$2)</f>
        <v>-0.840989059672114</v>
      </c>
      <c r="AT115" s="25" t="n">
        <f aca="false">IF(OR(AND(AR115*AS115&gt;0), AND(AR115&lt;0,AS115&gt;0)), MOD(ATAN2(AS115,AR115)/$A$4+360,360),  ATAN2(AS115,AR115)/$A$4)</f>
        <v>195.998620968337</v>
      </c>
      <c r="AU115" s="29" t="n">
        <f aca="false">(1+SIN($A$4*H115)*SIN($A$4*AJ115))*120*ASIN(0.272481*SIN($A$4*AJ115))/$A$4</f>
        <v>30.0906172078847</v>
      </c>
      <c r="AV115" s="10" t="n">
        <f aca="false">COS(X115)</f>
        <v>0.11552038850275</v>
      </c>
      <c r="AW115" s="10" t="n">
        <f aca="false">SIN(X115)</f>
        <v>0.993305109138262</v>
      </c>
      <c r="AX115" s="30" t="n">
        <f aca="false"> 385000.56 + (-20905355*COS(Q115) - 3699111*COS(2*S115-Q115) - 2955968*COS(2*S115) - 569925*COS(2*Q115) + (1-0.002516*M115)*48888*COS(R115) - 3149*COS(2*T115)  +246158*COS(2*S115-2*Q115) -(1-0.002516*M115)*152138*COS(2*S115-R115-Q115) -170733*COS(2*S115+Q115) -(1-0.002516*M115)*204586*COS(2*S115-R115) -(1-0.002516*M115)*129620*COS(R115-Q115)  + 108743*COS(S115) +(1-0.002516*M115)*104755*COS(R115+Q115) +10321*COS(2*S115-2*T115) +79661*COS(Q115-2*T115) -34782*COS(4*S115-Q115) -23210*COS(3*Q115)  -21636*COS(4*S115-2*Q115) +(1-0.002516*M115)*24208*COS(2*S115+R115-Q115) +(1-0.002516*M115)*30824*COS(2*S115+R115) -8379*COS(S115-Q115) -(1-0.002516*M115)*16675*COS(S115+R115)  -(1-0.002516*M115)*12831*COS(2*S115-R115+Q115) -10445*COS(2*S115+2*Q115) -11650*COS(4*S115) +14403*COS(2*S115-3*Q115) -(1-0.002516*M115)*7003*COS(R115-2*Q115)  + (1-0.002516*M115)*10056*COS(2*S115-R115-2*Q115) +6322*COS(S115+Q115) -(1-0.002516*M115)*(1-0.002516*M115)*9884*COS(2*S115-2*R115) +(1-0.002516*M115)*5751*COS(R115+2*Q115) -(1-0.002516*M115)*(1-0.002516*M115)*4950*COS(2*S115-2*R115-Q115)  +4130*COS(2*S115+Q115-2*T115) -(1-0.002516*M115)*3958*COS(4*S115-R115-Q115) +3258*COS(3*S115-Q115) +(1-0.002516*M115)*2616*COS(2*S115+R115+Q115) -(1-0.002516*M115)*1897*COS(4*S115-R115-2*Q115)  -(1-0.002516*M115)*(1-0.002516*M115)*2117*COS(2*R115-Q115) +(1-0.002516*M115)*(1-0.002516*M115)*2354*COS(2*S115+2*R115-Q115) -1423*COS(4*S115+Q115) -1117*COS(4*Q115) -(1-0.002516*M115)*1571*COS(4*S115-R115)  -1739*COS(S115-2*Q115) -4421*COS(2*Q115-2*T115) +(1-0.002516*M115)*(1-0.002516*M115)*1165*COS(2*R115+Q115) +8752*COS(2*S115-Q115-2*T115))/1000</f>
        <v>400981.899720575</v>
      </c>
      <c r="AY115" s="10" t="n">
        <f aca="false">AY114+1/8</f>
        <v>15.125</v>
      </c>
      <c r="AZ115" s="17" t="n">
        <f aca="false">AZ114+1</f>
        <v>114</v>
      </c>
      <c r="BA115" s="32" t="n">
        <f aca="false">ATAN(0.99664719*TAN($A$4*input!$E$2))</f>
        <v>-0.400219206115995</v>
      </c>
      <c r="BB115" s="32" t="n">
        <f aca="false">COS(BA115)</f>
        <v>0.920975608992155</v>
      </c>
      <c r="BC115" s="32" t="n">
        <f aca="false">0.99664719*SIN(BA115)</f>
        <v>-0.388313912533463</v>
      </c>
      <c r="BD115" s="32" t="n">
        <f aca="false">6378.14/AX115</f>
        <v>0.0159063040113397</v>
      </c>
      <c r="BE115" s="33" t="n">
        <f aca="false">MOD(N115-15*AH115,360)</f>
        <v>346.046884840608</v>
      </c>
      <c r="BF115" s="27" t="n">
        <f aca="false">COS($A$4*AG115)*SIN($A$4*BE115)</f>
        <v>-0.21552736228791</v>
      </c>
      <c r="BG115" s="27" t="n">
        <f aca="false">COS($A$4*AG115)*COS($A$4*BE115)-BB115*BD115</f>
        <v>0.852807075940764</v>
      </c>
      <c r="BH115" s="27" t="n">
        <f aca="false">SIN($A$4*AG115)-BC115*BD115</f>
        <v>0.454581992229783</v>
      </c>
      <c r="BI115" s="46" t="n">
        <f aca="false">SQRT(BF115^2+BG115^2+BH115^2)</f>
        <v>0.990139757978145</v>
      </c>
      <c r="BJ115" s="35" t="n">
        <f aca="false">AX115*BI115</f>
        <v>397028.121142947</v>
      </c>
    </row>
    <row r="116" customFormat="false" ht="15" hidden="false" customHeight="false" outlineLevel="0" collapsed="false">
      <c r="A116" s="20"/>
      <c r="B116" s="20"/>
      <c r="C116" s="15" t="n">
        <f aca="false">MOD(C115+3,24)</f>
        <v>6</v>
      </c>
      <c r="D116" s="17" t="n">
        <v>15</v>
      </c>
      <c r="E116" s="102" t="n">
        <f aca="false">input!$C$2</f>
        <v>10</v>
      </c>
      <c r="F116" s="102" t="n">
        <f aca="false">input!$D$2</f>
        <v>2022</v>
      </c>
      <c r="H116" s="39" t="n">
        <f aca="false">AM116</f>
        <v>31.8341178257551</v>
      </c>
      <c r="I116" s="48" t="n">
        <f aca="false">H116+1.02/(TAN($A$4*(H116+10.3/(H116+5.11)))*60)</f>
        <v>31.8612045803206</v>
      </c>
      <c r="J116" s="39" t="n">
        <f aca="false">100*(1+COS($A$4*AQ116))/2</f>
        <v>72.7674833247855</v>
      </c>
      <c r="K116" s="48" t="n">
        <f aca="false">IF(AI116&gt;180,AT116-180,AT116+180)</f>
        <v>328.559639440135</v>
      </c>
      <c r="L116" s="10" t="n">
        <f aca="false">L115+1/8</f>
        <v>2459867.75</v>
      </c>
      <c r="M116" s="49" t="n">
        <f aca="false">(L116-2451545)/36525</f>
        <v>0.227864476386037</v>
      </c>
      <c r="N116" s="15" t="n">
        <f aca="false">MOD(280.46061837+360.98564736629*(L116-2451545)+0.000387933*M116^2-M116^3/38710000+$G$4,360)</f>
        <v>113.757256302051</v>
      </c>
      <c r="O116" s="18" t="n">
        <f aca="false">0.60643382+1336.85522467*M116 - 0.00000313*M116^2 - INT(0.60643382+1336.85522467*M116 - 0.00000313*M116^2)</f>
        <v>0.228249430850838</v>
      </c>
      <c r="P116" s="15" t="n">
        <f aca="false">22640*SIN(Q116)-4586*SIN(Q116-2*S116)+2370*SIN(2*S116)+769*SIN(2*Q116)-668*SIN(R116)-412*SIN(2*T116)-212*SIN(2*Q116-2*S116)-206*SIN(Q116+R116-2*S116)+192*SIN(Q116+2*S116)-165*SIN(R116-2*S116)-125*SIN(S116)-110*SIN(Q116+R116)+148*SIN(Q116-R116)-55*SIN(2*T116-2*S116)</f>
        <v>9721.06743896218</v>
      </c>
      <c r="Q116" s="18" t="n">
        <f aca="false">2*PI()*(0.374897+1325.55241*M116 - INT(0.374897+1325.55241*M116))</f>
        <v>2.64649541331675</v>
      </c>
      <c r="R116" s="26" t="n">
        <f aca="false">2*PI()*(0.99312619+99.99735956*M116 - 0.00000044*M116^2 - INT(0.99312619+99.99735956*M116- 0.00000044*M116^2))</f>
        <v>4.89442632535842</v>
      </c>
      <c r="S116" s="26" t="n">
        <f aca="false">2*PI()*(0.827361+1236.853086*M116 - INT(0.827361+1236.853086*M116))</f>
        <v>4.1609879968451</v>
      </c>
      <c r="T116" s="26" t="n">
        <f aca="false">2*PI()*(0.259086+1342.227825*M116 - INT(0.259086+1342.227825*M116))</f>
        <v>0.660529496300896</v>
      </c>
      <c r="U116" s="26" t="n">
        <f aca="false">T116+(P116+412*SIN(2*T116)+541*SIN(R116))/206264.8062</f>
        <v>0.707014523421969</v>
      </c>
      <c r="V116" s="26" t="n">
        <f aca="false">T116-2*S116</f>
        <v>-7.6614464973893</v>
      </c>
      <c r="W116" s="25" t="n">
        <f aca="false">-526*SIN(V116)+44*SIN(Q116+V116)-31*SIN(-Q116+V116)-23*SIN(R116+V116)+11*SIN(-R116+V116)-25*SIN(-2*Q116+T116)+21*SIN(-Q116+T116)</f>
        <v>498.721199822228</v>
      </c>
      <c r="X116" s="26" t="n">
        <f aca="false">2*PI()*(O116+P116/1296000-INT(O116+P116/1296000))</f>
        <v>1.48126253518806</v>
      </c>
      <c r="Y116" s="26" t="n">
        <f aca="false">(18520*SIN(U116)+W116)/206264.8062</f>
        <v>0.0607408434176921</v>
      </c>
      <c r="Z116" s="26" t="n">
        <f aca="false">Y116*180/PI()</f>
        <v>3.48019397189875</v>
      </c>
      <c r="AA116" s="26" t="n">
        <f aca="false">COS(Y116)*COS(X116)</f>
        <v>0.0892493239848265</v>
      </c>
      <c r="AB116" s="26" t="n">
        <f aca="false">COS(Y116)*SIN(X116)</f>
        <v>0.994157755703264</v>
      </c>
      <c r="AC116" s="26" t="n">
        <f aca="false">SIN(Y116)</f>
        <v>0.0607035002557549</v>
      </c>
      <c r="AD116" s="26" t="n">
        <f aca="false">COS($A$4*(23.4393-46.815*M116/3600))*AB116-SIN($A$4*(23.4393-46.815*M116/3600))*AC116</f>
        <v>0.887998703039184</v>
      </c>
      <c r="AE116" s="26" t="n">
        <f aca="false">SIN($A$4*(23.4393-46.815*M116/3600))*AB116+COS($A$4*(23.4393-46.815*M116/3600))*AC116</f>
        <v>0.451101830598124</v>
      </c>
      <c r="AF116" s="26" t="n">
        <f aca="false">SQRT(1-AE116*AE116)</f>
        <v>0.89247248609188</v>
      </c>
      <c r="AG116" s="10" t="n">
        <f aca="false">ATAN(AE116/AF116)/$A$4</f>
        <v>26.8143982580907</v>
      </c>
      <c r="AH116" s="26" t="n">
        <f aca="false">IF(24*ATAN(AD116/(AA116+AF116))/PI()&gt;0,24*ATAN(AD116/(AA116+AF116))/PI(),24*ATAN(AD116/(AA116+AF116))/PI()+24)</f>
        <v>5.61737970763982</v>
      </c>
      <c r="AI116" s="10" t="n">
        <f aca="false">IF(N116-15*AH116&gt;0,N116-15*AH116,360+N116-15*AH116)</f>
        <v>29.496560687454</v>
      </c>
      <c r="AJ116" s="18" t="n">
        <f aca="false">0.950724+0.051818*COS(Q116)+0.009531*COS(2*S116-Q116)+0.007843*COS(2*S116)+0.002824*COS(2*Q116)+0.000857*COS(2*S116+Q116)+0.000533*COS(2*S116-R116)+0.000401*COS(2*S116-R116-Q116)+0.00032*COS(Q116-R116)-0.000271*COS(S116)</f>
        <v>0.910655507948859</v>
      </c>
      <c r="AK116" s="50" t="n">
        <f aca="false">ASIN(COS($A$4*$G$2)*COS($A$4*AG116)*COS($A$4*AI116)+SIN($A$4*$G$2)*SIN($A$4*AG116))/$A$4</f>
        <v>32.6008946713743</v>
      </c>
      <c r="AL116" s="18" t="n">
        <f aca="false">ASIN((0.9983271+0.0016764*COS($A$4*2*$G$2))*COS($A$4*AK116)*SIN($A$4*AJ116))/$A$4</f>
        <v>0.766776845619112</v>
      </c>
      <c r="AM116" s="18" t="n">
        <f aca="false">AK116-AL116</f>
        <v>31.8341178257551</v>
      </c>
      <c r="AN116" s="10" t="n">
        <f aca="false"> IF(280.4664567 + 360007.6982779*M116/10 + 0.03032028*M116^2/100 + M116^3/49931000&lt;0,MOD(280.4664567 + 360007.6982779*M116/10 + 0.03032028*M116^2/100 + M116^3/49931000+360,360),MOD(280.4664567 + 360007.6982779*M116/10 + 0.03032028*M116^2/100 + M116^3/49931000,360))</f>
        <v>203.763038746805</v>
      </c>
      <c r="AO116" s="27" t="n">
        <f aca="false"> AN116 + (1.9146 - 0.004817*M116 - 0.000014*M116^2)*SIN(R116)+ (0.019993 - 0.000101*M116)*SIN(2*R116)+ 0.00029*SIN(3*R116)</f>
        <v>201.874290875642</v>
      </c>
      <c r="AP116" s="18" t="n">
        <f aca="false">ACOS(COS(X116-$A$4*AO116)*COS(Y116))/$A$4</f>
        <v>116.950364668927</v>
      </c>
      <c r="AQ116" s="25" t="n">
        <f aca="false">180 - AP116 -0.1468*(1-0.0549*SIN(R116))*SIN($A$4*AP116)/(1-0.0167*SIN($A$4*AO116))</f>
        <v>62.9125653581161</v>
      </c>
      <c r="AR116" s="25" t="n">
        <f aca="false">SIN($A$4*AI116)</f>
        <v>0.492371314089549</v>
      </c>
      <c r="AS116" s="25" t="n">
        <f aca="false">COS($A$4*AI116)*SIN($A$4*$G$2) - TAN($A$4*AG116)*COS($A$4*$G$2)</f>
        <v>-0.80535745354869</v>
      </c>
      <c r="AT116" s="25" t="n">
        <f aca="false">IF(OR(AND(AR116*AS116&gt;0), AND(AR116&lt;0,AS116&gt;0)), MOD(ATAN2(AS116,AR116)/$A$4+360,360),  ATAN2(AS116,AR116)/$A$4)</f>
        <v>148.559639440135</v>
      </c>
      <c r="AU116" s="29" t="n">
        <f aca="false">(1+SIN($A$4*H116)*SIN($A$4*AJ116))*120*ASIN(0.272481*SIN($A$4*AJ116))/$A$4</f>
        <v>30.0248064386864</v>
      </c>
      <c r="AV116" s="10" t="n">
        <f aca="false">COS(X116)</f>
        <v>0.089414217923945</v>
      </c>
      <c r="AW116" s="10" t="n">
        <f aca="false">SIN(X116)</f>
        <v>0.995994526909184</v>
      </c>
      <c r="AX116" s="30" t="n">
        <f aca="false"> 385000.56 + (-20905355*COS(Q116) - 3699111*COS(2*S116-Q116) - 2955968*COS(2*S116) - 569925*COS(2*Q116) + (1-0.002516*M116)*48888*COS(R116) - 3149*COS(2*T116)  +246158*COS(2*S116-2*Q116) -(1-0.002516*M116)*152138*COS(2*S116-R116-Q116) -170733*COS(2*S116+Q116) -(1-0.002516*M116)*204586*COS(2*S116-R116) -(1-0.002516*M116)*129620*COS(R116-Q116)  + 108743*COS(S116) +(1-0.002516*M116)*104755*COS(R116+Q116) +10321*COS(2*S116-2*T116) +79661*COS(Q116-2*T116) -34782*COS(4*S116-Q116) -23210*COS(3*Q116)  -21636*COS(4*S116-2*Q116) +(1-0.002516*M116)*24208*COS(2*S116+R116-Q116) +(1-0.002516*M116)*30824*COS(2*S116+R116) -8379*COS(S116-Q116) -(1-0.002516*M116)*16675*COS(S116+R116)  -(1-0.002516*M116)*12831*COS(2*S116-R116+Q116) -10445*COS(2*S116+2*Q116) -11650*COS(4*S116) +14403*COS(2*S116-3*Q116) -(1-0.002516*M116)*7003*COS(R116-2*Q116)  + (1-0.002516*M116)*10056*COS(2*S116-R116-2*Q116) +6322*COS(S116+Q116) -(1-0.002516*M116)*(1-0.002516*M116)*9884*COS(2*S116-2*R116) +(1-0.002516*M116)*5751*COS(R116+2*Q116) -(1-0.002516*M116)*(1-0.002516*M116)*4950*COS(2*S116-2*R116-Q116)  +4130*COS(2*S116+Q116-2*T116) -(1-0.002516*M116)*3958*COS(4*S116-R116-Q116) +3258*COS(3*S116-Q116) +(1-0.002516*M116)*2616*COS(2*S116+R116+Q116) -(1-0.002516*M116)*1897*COS(4*S116-R116-2*Q116)  -(1-0.002516*M116)*(1-0.002516*M116)*2117*COS(2*R116-Q116) +(1-0.002516*M116)*(1-0.002516*M116)*2354*COS(2*S116+2*R116-Q116) -1423*COS(4*S116+Q116) -1117*COS(4*Q116) -(1-0.002516*M116)*1571*COS(4*S116-R116)  -1739*COS(S116-2*Q116) -4421*COS(2*Q116-2*T116) +(1-0.002516*M116)*(1-0.002516*M116)*1165*COS(2*R116+Q116) +8752*COS(2*S116-Q116-2*T116))/1000</f>
        <v>401321.965160531</v>
      </c>
      <c r="AY116" s="10" t="n">
        <f aca="false">AY115+1/8</f>
        <v>15.25</v>
      </c>
      <c r="AZ116" s="17" t="n">
        <f aca="false">AZ115+1</f>
        <v>115</v>
      </c>
      <c r="BA116" s="32" t="n">
        <f aca="false">ATAN(0.99664719*TAN($A$4*input!$E$2))</f>
        <v>-0.400219206115995</v>
      </c>
      <c r="BB116" s="32" t="n">
        <f aca="false">COS(BA116)</f>
        <v>0.920975608992155</v>
      </c>
      <c r="BC116" s="32" t="n">
        <f aca="false">0.99664719*SIN(BA116)</f>
        <v>-0.388313912533463</v>
      </c>
      <c r="BD116" s="32" t="n">
        <f aca="false">6378.14/AX116</f>
        <v>0.0158928255956504</v>
      </c>
      <c r="BE116" s="33" t="n">
        <f aca="false">MOD(N116-15*AH116,360)</f>
        <v>29.496560687454</v>
      </c>
      <c r="BF116" s="27" t="n">
        <f aca="false">COS($A$4*AG116)*SIN($A$4*BE116)</f>
        <v>0.439427850765826</v>
      </c>
      <c r="BG116" s="27" t="n">
        <f aca="false">COS($A$4*AG116)*COS($A$4*BE116)-BB116*BD116</f>
        <v>0.762157986087341</v>
      </c>
      <c r="BH116" s="27" t="n">
        <f aca="false">SIN($A$4*AG116)-BC116*BD116</f>
        <v>0.457273235886383</v>
      </c>
      <c r="BI116" s="46" t="n">
        <f aca="false">SQRT(BF116^2+BG116^2+BH116^2)</f>
        <v>0.991504132136315</v>
      </c>
      <c r="BJ116" s="35" t="n">
        <f aca="false">AX116*BI116</f>
        <v>397912.386773733</v>
      </c>
    </row>
    <row r="117" customFormat="false" ht="15" hidden="false" customHeight="false" outlineLevel="0" collapsed="false">
      <c r="A117" s="20"/>
      <c r="B117" s="20"/>
      <c r="C117" s="15" t="n">
        <f aca="false">MOD(C116+3,24)</f>
        <v>9</v>
      </c>
      <c r="D117" s="17" t="n">
        <v>15</v>
      </c>
      <c r="E117" s="102" t="n">
        <f aca="false">input!$C$2</f>
        <v>10</v>
      </c>
      <c r="F117" s="102" t="n">
        <f aca="false">input!$D$2</f>
        <v>2022</v>
      </c>
      <c r="H117" s="39" t="n">
        <f aca="false">AM117</f>
        <v>2.72949855054673</v>
      </c>
      <c r="I117" s="48" t="n">
        <f aca="false">H117+1.02/(TAN($A$4*(H117+10.3/(H117+5.11)))*60)</f>
        <v>2.96999438797137</v>
      </c>
      <c r="J117" s="39" t="n">
        <f aca="false">100*(1+COS($A$4*AQ117))/2</f>
        <v>71.6921153727975</v>
      </c>
      <c r="K117" s="48" t="n">
        <f aca="false">IF(AI117&gt;180,AT117-180,AT117+180)</f>
        <v>301.374022158206</v>
      </c>
      <c r="L117" s="10" t="n">
        <f aca="false">L116+1/8</f>
        <v>2459867.875</v>
      </c>
      <c r="M117" s="49" t="n">
        <f aca="false">(L117-2451545)/36525</f>
        <v>0.227867898699521</v>
      </c>
      <c r="N117" s="15" t="n">
        <f aca="false">MOD(280.46061837+360.98564736629*(L117-2451545)+0.000387933*M117^2-M117^3/38710000+$G$4,360)</f>
        <v>158.880462223664</v>
      </c>
      <c r="O117" s="18" t="n">
        <f aca="false">0.60643382+1336.85522467*M117 - 0.00000313*M117^2 - INT(0.60643382+1336.85522467*M117 - 0.00000313*M117^2)</f>
        <v>0.232824568507397</v>
      </c>
      <c r="P117" s="15" t="n">
        <f aca="false">22640*SIN(Q117)-4586*SIN(Q117-2*S117)+2370*SIN(2*S117)+769*SIN(2*Q117)-668*SIN(R117)-412*SIN(2*T117)-212*SIN(2*Q117-2*S117)-206*SIN(Q117+R117-2*S117)+192*SIN(Q117+2*S117)-165*SIN(R117-2*S117)-125*SIN(S117)-110*SIN(Q117+R117)+148*SIN(Q117-R117)-55*SIN(2*T117-2*S117)</f>
        <v>9196.84686746404</v>
      </c>
      <c r="Q117" s="18" t="n">
        <f aca="false">2*PI()*(0.374897+1325.55241*M117 - INT(0.374897+1325.55241*M117))</f>
        <v>2.67499880628855</v>
      </c>
      <c r="R117" s="26" t="n">
        <f aca="false">2*PI()*(0.99312619+99.99735956*M117 - 0.00000044*M117^2 - INT(0.99312619+99.99735956*M117- 0.00000044*M117^2))</f>
        <v>4.8965765715565</v>
      </c>
      <c r="S117" s="26" t="n">
        <f aca="false">2*PI()*(0.827361+1236.853086*M117 - INT(0.827361+1236.853086*M117))</f>
        <v>4.18758408561002</v>
      </c>
      <c r="T117" s="26" t="n">
        <f aca="false">2*PI()*(0.259086+1342.227825*M117 - INT(0.259086+1342.227825*M117))</f>
        <v>0.689391461218298</v>
      </c>
      <c r="U117" s="26" t="n">
        <f aca="false">T117+(P117+412*SIN(2*T117)+541*SIN(R117))/206264.8062</f>
        <v>0.733361279015756</v>
      </c>
      <c r="V117" s="26" t="n">
        <f aca="false">T117-2*S117</f>
        <v>-7.68577671000174</v>
      </c>
      <c r="W117" s="25" t="n">
        <f aca="false">-526*SIN(V117)+44*SIN(Q117+V117)-31*SIN(-Q117+V117)-23*SIN(R117+V117)+11*SIN(-R117+V117)-25*SIN(-2*Q117+T117)+21*SIN(-Q117+T117)</f>
        <v>499.248257996071</v>
      </c>
      <c r="X117" s="26" t="n">
        <f aca="false">2*PI()*(O117+P117/1296000-INT(O117+P117/1296000))</f>
        <v>1.50746747984026</v>
      </c>
      <c r="Y117" s="26" t="n">
        <f aca="false">(18520*SIN(U117)+W117)/206264.8062</f>
        <v>0.0625215326239436</v>
      </c>
      <c r="Z117" s="26" t="n">
        <f aca="false">Y117*180/PI()</f>
        <v>3.58221994804145</v>
      </c>
      <c r="AA117" s="26" t="n">
        <f aca="false">COS(Y117)*COS(X117)</f>
        <v>0.0631628735408397</v>
      </c>
      <c r="AB117" s="26" t="n">
        <f aca="false">COS(Y117)*SIN(X117)</f>
        <v>0.996045480882547</v>
      </c>
      <c r="AC117" s="26" t="n">
        <f aca="false">SIN(Y117)</f>
        <v>0.0624808084096245</v>
      </c>
      <c r="AD117" s="26" t="n">
        <f aca="false">COS($A$4*(23.4393-46.815*M117/3600))*AB117-SIN($A$4*(23.4393-46.815*M117/3600))*AC117</f>
        <v>0.889023807595167</v>
      </c>
      <c r="AE117" s="26" t="n">
        <f aca="false">SIN($A$4*(23.4393-46.815*M117/3600))*AB117+COS($A$4*(23.4393-46.815*M117/3600))*AC117</f>
        <v>0.453483319357015</v>
      </c>
      <c r="AF117" s="26" t="n">
        <f aca="false">SQRT(1-AE117*AE117)</f>
        <v>0.891264763729019</v>
      </c>
      <c r="AG117" s="10" t="n">
        <f aca="false">ATAN(AE117/AF117)/$A$4</f>
        <v>26.9673907167966</v>
      </c>
      <c r="AH117" s="26" t="n">
        <f aca="false">IF(24*ATAN(AD117/(AA117+AF117))/PI()&gt;0,24*ATAN(AD117/(AA117+AF117))/PI(),24*ATAN(AD117/(AA117+AF117))/PI()+24)</f>
        <v>5.72907397823738</v>
      </c>
      <c r="AI117" s="10" t="n">
        <f aca="false">IF(N117-15*AH117&gt;0,N117-15*AH117,360+N117-15*AH117)</f>
        <v>72.9443525501032</v>
      </c>
      <c r="AJ117" s="18" t="n">
        <f aca="false">0.950724+0.051818*COS(Q117)+0.009531*COS(2*S117-Q117)+0.007843*COS(2*S117)+0.002824*COS(2*Q117)+0.000857*COS(2*S117+Q117)+0.000533*COS(2*S117-R117)+0.000401*COS(2*S117-R117-Q117)+0.00032*COS(Q117-R117)-0.000271*COS(S117)</f>
        <v>0.909941550477391</v>
      </c>
      <c r="AK117" s="50" t="n">
        <f aca="false">ASIN(COS($A$4*$G$2)*COS($A$4*AG117)*COS($A$4*AI117)+SIN($A$4*$G$2)*SIN($A$4*AG117))/$A$4</f>
        <v>3.63714545499073</v>
      </c>
      <c r="AL117" s="18" t="n">
        <f aca="false">ASIN((0.9983271+0.0016764*COS($A$4*2*$G$2))*COS($A$4*AK117)*SIN($A$4*AJ117))/$A$4</f>
        <v>0.907646904443997</v>
      </c>
      <c r="AM117" s="18" t="n">
        <f aca="false">AK117-AL117</f>
        <v>2.72949855054673</v>
      </c>
      <c r="AN117" s="10" t="n">
        <f aca="false"> IF(280.4664567 + 360007.6982779*M117/10 + 0.03032028*M117^2/100 + M117^3/49931000&lt;0,MOD(280.4664567 + 360007.6982779*M117/10 + 0.03032028*M117^2/100 + M117^3/49931000+360,360),MOD(280.4664567 + 360007.6982779*M117/10 + 0.03032028*M117^2/100 + M117^3/49931000,360))</f>
        <v>203.88624466729</v>
      </c>
      <c r="AO117" s="27" t="n">
        <f aca="false"> AN117 + (1.9146 - 0.004817*M117 - 0.000014*M117^2)*SIN(R117)+ (0.019993 - 0.000101*M117)*SIN(2*R117)+ 0.00029*SIN(3*R117)</f>
        <v>201.998164862874</v>
      </c>
      <c r="AP117" s="18" t="n">
        <f aca="false">ACOS(COS(X117-$A$4*AO117)*COS(Y117))/$A$4</f>
        <v>115.572952798443</v>
      </c>
      <c r="AQ117" s="25" t="n">
        <f aca="false">180 - AP117 -0.1468*(1-0.0549*SIN(R117))*SIN($A$4*AP117)/(1-0.0167*SIN($A$4*AO117))</f>
        <v>64.2883490416411</v>
      </c>
      <c r="AR117" s="25" t="n">
        <f aca="false">SIN($A$4*AI117)</f>
        <v>0.956020344443542</v>
      </c>
      <c r="AS117" s="25" t="n">
        <f aca="false">COS($A$4*AI117)*SIN($A$4*$G$2) - TAN($A$4*AG117)*COS($A$4*$G$2)</f>
        <v>-0.582962513692994</v>
      </c>
      <c r="AT117" s="25" t="n">
        <f aca="false">IF(OR(AND(AR117*AS117&gt;0), AND(AR117&lt;0,AS117&gt;0)), MOD(ATAN2(AS117,AR117)/$A$4+360,360),  ATAN2(AS117,AR117)/$A$4)</f>
        <v>121.374022158206</v>
      </c>
      <c r="AU117" s="29" t="n">
        <f aca="false">(1+SIN($A$4*H117)*SIN($A$4*AJ117))*120*ASIN(0.272481*SIN($A$4*AJ117))/$A$4</f>
        <v>29.774356181667</v>
      </c>
      <c r="AV117" s="10" t="n">
        <f aca="false">COS(X117)</f>
        <v>0.0632865249331127</v>
      </c>
      <c r="AW117" s="10" t="n">
        <f aca="false">SIN(X117)</f>
        <v>0.997995398667695</v>
      </c>
      <c r="AX117" s="30" t="n">
        <f aca="false"> 385000.56 + (-20905355*COS(Q117) - 3699111*COS(2*S117-Q117) - 2955968*COS(2*S117) - 569925*COS(2*Q117) + (1-0.002516*M117)*48888*COS(R117) - 3149*COS(2*T117)  +246158*COS(2*S117-2*Q117) -(1-0.002516*M117)*152138*COS(2*S117-R117-Q117) -170733*COS(2*S117+Q117) -(1-0.002516*M117)*204586*COS(2*S117-R117) -(1-0.002516*M117)*129620*COS(R117-Q117)  + 108743*COS(S117) +(1-0.002516*M117)*104755*COS(R117+Q117) +10321*COS(2*S117-2*T117) +79661*COS(Q117-2*T117) -34782*COS(4*S117-Q117) -23210*COS(3*Q117)  -21636*COS(4*S117-2*Q117) +(1-0.002516*M117)*24208*COS(2*S117+R117-Q117) +(1-0.002516*M117)*30824*COS(2*S117+R117) -8379*COS(S117-Q117) -(1-0.002516*M117)*16675*COS(S117+R117)  -(1-0.002516*M117)*12831*COS(2*S117-R117+Q117) -10445*COS(2*S117+2*Q117) -11650*COS(4*S117) +14403*COS(2*S117-3*Q117) -(1-0.002516*M117)*7003*COS(R117-2*Q117)  + (1-0.002516*M117)*10056*COS(2*S117-R117-2*Q117) +6322*COS(S117+Q117) -(1-0.002516*M117)*(1-0.002516*M117)*9884*COS(2*S117-2*R117) +(1-0.002516*M117)*5751*COS(R117+2*Q117) -(1-0.002516*M117)*(1-0.002516*M117)*4950*COS(2*S117-2*R117-Q117)  +4130*COS(2*S117+Q117-2*T117) -(1-0.002516*M117)*3958*COS(4*S117-R117-Q117) +3258*COS(3*S117-Q117) +(1-0.002516*M117)*2616*COS(2*S117+R117+Q117) -(1-0.002516*M117)*1897*COS(4*S117-R117-2*Q117)  -(1-0.002516*M117)*(1-0.002516*M117)*2117*COS(2*R117-Q117) +(1-0.002516*M117)*(1-0.002516*M117)*2354*COS(2*S117+2*R117-Q117) -1423*COS(4*S117+Q117) -1117*COS(4*Q117) -(1-0.002516*M117)*1571*COS(4*S117-R117)  -1739*COS(S117-2*Q117) -4421*COS(2*Q117-2*T117) +(1-0.002516*M117)*(1-0.002516*M117)*1165*COS(2*R117+Q117) +8752*COS(2*S117-Q117-2*T117))/1000</f>
        <v>401645.704873858</v>
      </c>
      <c r="AY117" s="10" t="n">
        <f aca="false">AY116+1/8</f>
        <v>15.375</v>
      </c>
      <c r="AZ117" s="17" t="n">
        <f aca="false">AZ116+1</f>
        <v>116</v>
      </c>
      <c r="BA117" s="32" t="n">
        <f aca="false">ATAN(0.99664719*TAN($A$4*input!$E$2))</f>
        <v>-0.400219206115995</v>
      </c>
      <c r="BB117" s="32" t="n">
        <f aca="false">COS(BA117)</f>
        <v>0.920975608992155</v>
      </c>
      <c r="BC117" s="32" t="n">
        <f aca="false">0.99664719*SIN(BA117)</f>
        <v>-0.388313912533463</v>
      </c>
      <c r="BD117" s="32" t="n">
        <f aca="false">6378.14/AX117</f>
        <v>0.0158800154529304</v>
      </c>
      <c r="BE117" s="33" t="n">
        <f aca="false">MOD(N117-15*AH117,360)</f>
        <v>72.9443525501032</v>
      </c>
      <c r="BF117" s="27" t="n">
        <f aca="false">COS($A$4*AG117)*SIN($A$4*BE117)</f>
        <v>0.852067246410609</v>
      </c>
      <c r="BG117" s="27" t="n">
        <f aca="false">COS($A$4*AG117)*COS($A$4*BE117)-BB117*BD117</f>
        <v>0.246783168902134</v>
      </c>
      <c r="BH117" s="27" t="n">
        <f aca="false">SIN($A$4*AG117)-BC117*BD117</f>
        <v>0.459649750288634</v>
      </c>
      <c r="BI117" s="46" t="n">
        <f aca="false">SQRT(BF117^2+BG117^2+BH117^2)</f>
        <v>0.999098802821593</v>
      </c>
      <c r="BJ117" s="35" t="n">
        <f aca="false">AX117*BI117</f>
        <v>401283.742897906</v>
      </c>
    </row>
    <row r="118" customFormat="false" ht="15" hidden="false" customHeight="false" outlineLevel="0" collapsed="false">
      <c r="A118" s="20"/>
      <c r="B118" s="20"/>
      <c r="C118" s="15" t="n">
        <f aca="false">MOD(C117+3,24)</f>
        <v>12</v>
      </c>
      <c r="D118" s="17" t="n">
        <v>15</v>
      </c>
      <c r="E118" s="102" t="n">
        <f aca="false">input!$C$2</f>
        <v>10</v>
      </c>
      <c r="F118" s="102" t="n">
        <f aca="false">input!$D$2</f>
        <v>2022</v>
      </c>
      <c r="H118" s="39" t="n">
        <f aca="false">AM118</f>
        <v>-33.5992400556268</v>
      </c>
      <c r="I118" s="48" t="n">
        <f aca="false">H118+1.02/(TAN($A$4*(H118+10.3/(H118+5.11)))*60)</f>
        <v>-33.6244808442062</v>
      </c>
      <c r="J118" s="39" t="n">
        <f aca="false">100*(1+COS($A$4*AQ118))/2</f>
        <v>70.6061190121771</v>
      </c>
      <c r="K118" s="48" t="n">
        <f aca="false">IF(AI118&gt;180,AT118-180,AT118+180)</f>
        <v>288.364821420767</v>
      </c>
      <c r="L118" s="10" t="n">
        <f aca="false">L117+1/8</f>
        <v>2459868</v>
      </c>
      <c r="M118" s="49" t="n">
        <f aca="false">(L118-2451545)/36525</f>
        <v>0.227871321013005</v>
      </c>
      <c r="N118" s="15" t="n">
        <f aca="false">MOD(280.46061837+360.98564736629*(L118-2451545)+0.000387933*M118^2-M118^3/38710000+$G$4,360)</f>
        <v>204.003668144811</v>
      </c>
      <c r="O118" s="18" t="n">
        <f aca="false">0.60643382+1336.85522467*M118 - 0.00000313*M118^2 - INT(0.60643382+1336.85522467*M118 - 0.00000313*M118^2)</f>
        <v>0.237399706163899</v>
      </c>
      <c r="P118" s="15" t="n">
        <f aca="false">22640*SIN(Q118)-4586*SIN(Q118-2*S118)+2370*SIN(2*S118)+769*SIN(2*Q118)-668*SIN(R118)-412*SIN(2*T118)-212*SIN(2*Q118-2*S118)-206*SIN(Q118+R118-2*S118)+192*SIN(Q118+2*S118)-165*SIN(R118-2*S118)-125*SIN(S118)-110*SIN(Q118+R118)+148*SIN(Q118-R118)-55*SIN(2*T118-2*S118)</f>
        <v>8664.8780753743</v>
      </c>
      <c r="Q118" s="18" t="n">
        <f aca="false">2*PI()*(0.374897+1325.55241*M118 - INT(0.374897+1325.55241*M118))</f>
        <v>2.70350219926035</v>
      </c>
      <c r="R118" s="26" t="n">
        <f aca="false">2*PI()*(0.99312619+99.99735956*M118 - 0.00000044*M118^2 - INT(0.99312619+99.99735956*M118- 0.00000044*M118^2))</f>
        <v>4.89872681775461</v>
      </c>
      <c r="S118" s="26" t="n">
        <f aca="false">2*PI()*(0.827361+1236.853086*M118 - INT(0.827361+1236.853086*M118))</f>
        <v>4.21418017437494</v>
      </c>
      <c r="T118" s="26" t="n">
        <f aca="false">2*PI()*(0.259086+1342.227825*M118 - INT(0.259086+1342.227825*M118))</f>
        <v>0.7182534261357</v>
      </c>
      <c r="U118" s="26" t="n">
        <f aca="false">T118+(P118+412*SIN(2*T118)+541*SIN(R118))/206264.8062</f>
        <v>0.759663950678729</v>
      </c>
      <c r="V118" s="26" t="n">
        <f aca="false">T118-2*S118</f>
        <v>-7.71010692261418</v>
      </c>
      <c r="W118" s="25" t="n">
        <f aca="false">-526*SIN(V118)+44*SIN(Q118+V118)-31*SIN(-Q118+V118)-23*SIN(R118+V118)+11*SIN(-R118+V118)-25*SIN(-2*Q118+T118)+21*SIN(-Q118+T118)</f>
        <v>499.553278263322</v>
      </c>
      <c r="X118" s="26" t="n">
        <f aca="false">2*PI()*(O118+P118/1296000-INT(O118+P118/1296000))</f>
        <v>1.53363486005864</v>
      </c>
      <c r="Y118" s="26" t="n">
        <f aca="false">(18520*SIN(U118)+W118)/206264.8062</f>
        <v>0.0642565586050344</v>
      </c>
      <c r="Z118" s="26" t="n">
        <f aca="false">Y118*180/PI()</f>
        <v>3.6816296141035</v>
      </c>
      <c r="AA118" s="26" t="n">
        <f aca="false">COS(Y118)*COS(X118)</f>
        <v>0.0370762401077388</v>
      </c>
      <c r="AB118" s="26" t="n">
        <f aca="false">COS(Y118)*SIN(X118)</f>
        <v>0.997247274545264</v>
      </c>
      <c r="AC118" s="26" t="n">
        <f aca="false">SIN(Y118)</f>
        <v>0.0642123495249582</v>
      </c>
      <c r="AD118" s="26" t="n">
        <f aca="false">COS($A$4*(23.4393-46.815*M118/3600))*AB118-SIN($A$4*(23.4393-46.815*M118/3600))*AC118</f>
        <v>0.889437771141571</v>
      </c>
      <c r="AE118" s="26" t="n">
        <f aca="false">SIN($A$4*(23.4393-46.815*M118/3600))*AB118+COS($A$4*(23.4393-46.815*M118/3600))*AC118</f>
        <v>0.455550001301929</v>
      </c>
      <c r="AF118" s="26" t="n">
        <f aca="false">SQRT(1-AE118*AE118)</f>
        <v>0.890210197826228</v>
      </c>
      <c r="AG118" s="10" t="n">
        <f aca="false">ATAN(AE118/AF118)/$A$4</f>
        <v>27.1003278643561</v>
      </c>
      <c r="AH118" s="26" t="n">
        <f aca="false">IF(24*ATAN(AD118/(AA118+AF118))/PI()&gt;0,24*ATAN(AD118/(AA118+AF118))/PI(),24*ATAN(AD118/(AA118+AF118))/PI()+24)</f>
        <v>5.84086704377281</v>
      </c>
      <c r="AI118" s="10" t="n">
        <f aca="false">IF(N118-15*AH118&gt;0,N118-15*AH118,360+N118-15*AH118)</f>
        <v>116.390662488219</v>
      </c>
      <c r="AJ118" s="18" t="n">
        <f aca="false">0.950724+0.051818*COS(Q118)+0.009531*COS(2*S118-Q118)+0.007843*COS(2*S118)+0.002824*COS(2*Q118)+0.000857*COS(2*S118+Q118)+0.000533*COS(2*S118-R118)+0.000401*COS(2*S118-R118-Q118)+0.00032*COS(Q118-R118)-0.000271*COS(S118)</f>
        <v>0.909266820375268</v>
      </c>
      <c r="AK118" s="50" t="n">
        <f aca="false">ASIN(COS($A$4*$G$2)*COS($A$4*AG118)*COS($A$4*AI118)+SIN($A$4*$G$2)*SIN($A$4*AG118))/$A$4</f>
        <v>-32.8356451549728</v>
      </c>
      <c r="AL118" s="18" t="n">
        <f aca="false">ASIN((0.9983271+0.0016764*COS($A$4*2*$G$2))*COS($A$4*AK118)*SIN($A$4*AJ118))/$A$4</f>
        <v>0.763594900653997</v>
      </c>
      <c r="AM118" s="18" t="n">
        <f aca="false">AK118-AL118</f>
        <v>-33.5992400556268</v>
      </c>
      <c r="AN118" s="10" t="n">
        <f aca="false"> IF(280.4664567 + 360007.6982779*M118/10 + 0.03032028*M118^2/100 + M118^3/49931000&lt;0,MOD(280.4664567 + 360007.6982779*M118/10 + 0.03032028*M118^2/100 + M118^3/49931000+360,360),MOD(280.4664567 + 360007.6982779*M118/10 + 0.03032028*M118^2/100 + M118^3/49931000,360))</f>
        <v>204.009450587777</v>
      </c>
      <c r="AO118" s="27" t="n">
        <f aca="false"> AN118 + (1.9146 - 0.004817*M118 - 0.000014*M118^2)*SIN(R118)+ (0.019993 - 0.000101*M118)*SIN(2*R118)+ 0.00029*SIN(3*R118)</f>
        <v>202.122047670358</v>
      </c>
      <c r="AP118" s="18" t="n">
        <f aca="false">ACOS(COS(X118-$A$4*AO118)*COS(Y118))/$A$4</f>
        <v>114.197986014898</v>
      </c>
      <c r="AQ118" s="25" t="n">
        <f aca="false">180 - AP118 -0.1468*(1-0.0549*SIN(R118))*SIN($A$4*AP118)/(1-0.0167*SIN($A$4*AO118))</f>
        <v>65.6617706830827</v>
      </c>
      <c r="AR118" s="25" t="n">
        <f aca="false">SIN($A$4*AI118)</f>
        <v>0.895784210683789</v>
      </c>
      <c r="AS118" s="25" t="n">
        <f aca="false">COS($A$4*AI118)*SIN($A$4*$G$2) - TAN($A$4*AG118)*COS($A$4*$G$2)</f>
        <v>-0.297377012294333</v>
      </c>
      <c r="AT118" s="25" t="n">
        <f aca="false">IF(OR(AND(AR118*AS118&gt;0), AND(AR118&lt;0,AS118&gt;0)), MOD(ATAN2(AS118,AR118)/$A$4+360,360),  ATAN2(AS118,AR118)/$A$4)</f>
        <v>108.364821420767</v>
      </c>
      <c r="AU118" s="29" t="n">
        <f aca="false">(1+SIN($A$4*H118)*SIN($A$4*AJ118))*120*ASIN(0.272481*SIN($A$4*AJ118))/$A$4</f>
        <v>29.4687210209749</v>
      </c>
      <c r="AV118" s="10" t="n">
        <f aca="false">COS(X118)</f>
        <v>0.0371529141531555</v>
      </c>
      <c r="AW118" s="10" t="n">
        <f aca="false">SIN(X118)</f>
        <v>0.999309592153467</v>
      </c>
      <c r="AX118" s="30" t="n">
        <f aca="false"> 385000.56 + (-20905355*COS(Q118) - 3699111*COS(2*S118-Q118) - 2955968*COS(2*S118) - 569925*COS(2*Q118) + (1-0.002516*M118)*48888*COS(R118) - 3149*COS(2*T118)  +246158*COS(2*S118-2*Q118) -(1-0.002516*M118)*152138*COS(2*S118-R118-Q118) -170733*COS(2*S118+Q118) -(1-0.002516*M118)*204586*COS(2*S118-R118) -(1-0.002516*M118)*129620*COS(R118-Q118)  + 108743*COS(S118) +(1-0.002516*M118)*104755*COS(R118+Q118) +10321*COS(2*S118-2*T118) +79661*COS(Q118-2*T118) -34782*COS(4*S118-Q118) -23210*COS(3*Q118)  -21636*COS(4*S118-2*Q118) +(1-0.002516*M118)*24208*COS(2*S118+R118-Q118) +(1-0.002516*M118)*30824*COS(2*S118+R118) -8379*COS(S118-Q118) -(1-0.002516*M118)*16675*COS(S118+R118)  -(1-0.002516*M118)*12831*COS(2*S118-R118+Q118) -10445*COS(2*S118+2*Q118) -11650*COS(4*S118) +14403*COS(2*S118-3*Q118) -(1-0.002516*M118)*7003*COS(R118-2*Q118)  + (1-0.002516*M118)*10056*COS(2*S118-R118-2*Q118) +6322*COS(S118+Q118) -(1-0.002516*M118)*(1-0.002516*M118)*9884*COS(2*S118-2*R118) +(1-0.002516*M118)*5751*COS(R118+2*Q118) -(1-0.002516*M118)*(1-0.002516*M118)*4950*COS(2*S118-2*R118-Q118)  +4130*COS(2*S118+Q118-2*T118) -(1-0.002516*M118)*3958*COS(4*S118-R118-Q118) +3258*COS(3*S118-Q118) +(1-0.002516*M118)*2616*COS(2*S118+R118+Q118) -(1-0.002516*M118)*1897*COS(4*S118-R118-2*Q118)  -(1-0.002516*M118)*(1-0.002516*M118)*2117*COS(2*R118-Q118) +(1-0.002516*M118)*(1-0.002516*M118)*2354*COS(2*S118+2*R118-Q118) -1423*COS(4*S118+Q118) -1117*COS(4*Q118) -(1-0.002516*M118)*1571*COS(4*S118-R118)  -1739*COS(S118-2*Q118) -4421*COS(2*Q118-2*T118) +(1-0.002516*M118)*(1-0.002516*M118)*1165*COS(2*R118+Q118) +8752*COS(2*S118-Q118-2*T118))/1000</f>
        <v>401952.697141852</v>
      </c>
      <c r="AY118" s="10" t="n">
        <f aca="false">AY117+1/8</f>
        <v>15.5</v>
      </c>
      <c r="AZ118" s="17" t="n">
        <f aca="false">AZ117+1</f>
        <v>117</v>
      </c>
      <c r="BA118" s="32" t="n">
        <f aca="false">ATAN(0.99664719*TAN($A$4*input!$E$2))</f>
        <v>-0.400219206115995</v>
      </c>
      <c r="BB118" s="32" t="n">
        <f aca="false">COS(BA118)</f>
        <v>0.920975608992155</v>
      </c>
      <c r="BC118" s="32" t="n">
        <f aca="false">0.99664719*SIN(BA118)</f>
        <v>-0.388313912533463</v>
      </c>
      <c r="BD118" s="32" t="n">
        <f aca="false">6378.14/AX118</f>
        <v>0.0158678870557475</v>
      </c>
      <c r="BE118" s="33" t="n">
        <f aca="false">MOD(N118-15*AH118,360)</f>
        <v>116.390662488219</v>
      </c>
      <c r="BF118" s="27" t="n">
        <f aca="false">COS($A$4*AG118)*SIN($A$4*BE118)</f>
        <v>0.797436239402427</v>
      </c>
      <c r="BG118" s="27" t="n">
        <f aca="false">COS($A$4*AG118)*COS($A$4*BE118)-BB118*BD118</f>
        <v>-0.410302754579766</v>
      </c>
      <c r="BH118" s="27" t="n">
        <f aca="false">SIN($A$4*AG118)-BC118*BD118</f>
        <v>0.461711722608186</v>
      </c>
      <c r="BI118" s="46" t="n">
        <f aca="false">SQRT(BF118^2+BG118^2+BH118^2)</f>
        <v>1.00867765967223</v>
      </c>
      <c r="BJ118" s="35" t="n">
        <f aca="false">AX118*BI118</f>
        <v>405440.705851984</v>
      </c>
    </row>
    <row r="119" customFormat="false" ht="15" hidden="false" customHeight="false" outlineLevel="0" collapsed="false">
      <c r="A119" s="20"/>
      <c r="B119" s="20"/>
      <c r="C119" s="15" t="n">
        <f aca="false">MOD(C118+3,24)</f>
        <v>15</v>
      </c>
      <c r="D119" s="17" t="n">
        <v>15</v>
      </c>
      <c r="E119" s="102" t="n">
        <f aca="false">input!$C$2</f>
        <v>10</v>
      </c>
      <c r="F119" s="102" t="n">
        <f aca="false">input!$D$2</f>
        <v>2022</v>
      </c>
      <c r="H119" s="39" t="n">
        <f aca="false">AM119</f>
        <v>-71.5759881923558</v>
      </c>
      <c r="I119" s="48" t="n">
        <f aca="false">H119+1.02/(TAN($A$4*(H119+10.3/(H119+5.11)))*60)</f>
        <v>-71.5816002176568</v>
      </c>
      <c r="J119" s="39" t="n">
        <f aca="false">100*(1+COS($A$4*AQ119))/2</f>
        <v>69.5100631742918</v>
      </c>
      <c r="K119" s="48" t="n">
        <f aca="false">IF(AI119&gt;180,AT119-180,AT119+180)</f>
        <v>287.17785187465</v>
      </c>
      <c r="L119" s="10" t="n">
        <f aca="false">L118+1/8</f>
        <v>2459868.125</v>
      </c>
      <c r="M119" s="49" t="n">
        <f aca="false">(L119-2451545)/36525</f>
        <v>0.227874743326489</v>
      </c>
      <c r="N119" s="15" t="n">
        <f aca="false">MOD(280.46061837+360.98564736629*(L119-2451545)+0.000387933*M119^2-M119^3/38710000+$G$4,360)</f>
        <v>249.126874065958</v>
      </c>
      <c r="O119" s="18" t="n">
        <f aca="false">0.60643382+1336.85522467*M119 - 0.00000313*M119^2 - INT(0.60643382+1336.85522467*M119 - 0.00000313*M119^2)</f>
        <v>0.241974843820515</v>
      </c>
      <c r="P119" s="15" t="n">
        <f aca="false">22640*SIN(Q119)-4586*SIN(Q119-2*S119)+2370*SIN(2*S119)+769*SIN(2*Q119)-668*SIN(R119)-412*SIN(2*T119)-212*SIN(2*Q119-2*S119)-206*SIN(Q119+R119-2*S119)+192*SIN(Q119+2*S119)-165*SIN(R119-2*S119)-125*SIN(S119)-110*SIN(Q119+R119)+148*SIN(Q119-R119)-55*SIN(2*T119-2*S119)</f>
        <v>8125.69527513812</v>
      </c>
      <c r="Q119" s="18" t="n">
        <f aca="false">2*PI()*(0.374897+1325.55241*M119 - INT(0.374897+1325.55241*M119))</f>
        <v>2.7320055922325</v>
      </c>
      <c r="R119" s="26" t="n">
        <f aca="false">2*PI()*(0.99312619+99.99735956*M119 - 0.00000044*M119^2 - INT(0.99312619+99.99735956*M119- 0.00000044*M119^2))</f>
        <v>4.90087706395271</v>
      </c>
      <c r="S119" s="26" t="n">
        <f aca="false">2*PI()*(0.827361+1236.853086*M119 - INT(0.827361+1236.853086*M119))</f>
        <v>4.24077626313987</v>
      </c>
      <c r="T119" s="26" t="n">
        <f aca="false">2*PI()*(0.259086+1342.227825*M119 - INT(0.259086+1342.227825*M119))</f>
        <v>0.747115391053817</v>
      </c>
      <c r="U119" s="26" t="n">
        <f aca="false">T119+(P119+412*SIN(2*T119)+541*SIN(R119))/206264.8062</f>
        <v>0.78592506596527</v>
      </c>
      <c r="V119" s="26" t="n">
        <f aca="false">T119-2*S119</f>
        <v>-7.73443713522591</v>
      </c>
      <c r="W119" s="25" t="n">
        <f aca="false">-526*SIN(V119)+44*SIN(Q119+V119)-31*SIN(-Q119+V119)-23*SIN(R119+V119)+11*SIN(-R119+V119)-25*SIN(-2*Q119+T119)+21*SIN(-Q119+T119)</f>
        <v>499.638156177609</v>
      </c>
      <c r="X119" s="26" t="n">
        <f aca="false">2*PI()*(O119+P119/1296000-INT(O119+P119/1296000))</f>
        <v>1.55976726577927</v>
      </c>
      <c r="Y119" s="26" t="n">
        <f aca="false">(18520*SIN(U119)+W119)/206264.8062</f>
        <v>0.0659451037271685</v>
      </c>
      <c r="Z119" s="26" t="n">
        <f aca="false">Y119*180/PI()</f>
        <v>3.77837612311919</v>
      </c>
      <c r="AA119" s="26" t="n">
        <f aca="false">COS(Y119)*COS(X119)</f>
        <v>0.011004865244784</v>
      </c>
      <c r="AB119" s="26" t="n">
        <f aca="false">COS(Y119)*SIN(X119)</f>
        <v>0.997765722239565</v>
      </c>
      <c r="AC119" s="26" t="n">
        <f aca="false">SIN(Y119)</f>
        <v>0.0658973175835286</v>
      </c>
      <c r="AD119" s="26" t="n">
        <f aca="false">COS($A$4*(23.4393-46.815*M119/3600))*AB119-SIN($A$4*(23.4393-46.815*M119/3600))*AC119</f>
        <v>0.889243286502244</v>
      </c>
      <c r="AE119" s="26" t="n">
        <f aca="false">SIN($A$4*(23.4393-46.815*M119/3600))*AB119+COS($A$4*(23.4393-46.815*M119/3600))*AC119</f>
        <v>0.457302165260162</v>
      </c>
      <c r="AF119" s="26" t="n">
        <f aca="false">SQRT(1-AE119*AE119)</f>
        <v>0.889311379466364</v>
      </c>
      <c r="AG119" s="10" t="n">
        <f aca="false">ATAN(AE119/AF119)/$A$4</f>
        <v>27.2131577043084</v>
      </c>
      <c r="AH119" s="26" t="n">
        <f aca="false">IF(24*ATAN(AD119/(AA119+AF119))/PI()&gt;0,24*ATAN(AD119/(AA119+AF119))/PI(),24*ATAN(AD119/(AA119+AF119))/PI()+24)</f>
        <v>5.9527313349336</v>
      </c>
      <c r="AI119" s="10" t="n">
        <f aca="false">IF(N119-15*AH119&gt;0,N119-15*AH119,360+N119-15*AH119)</f>
        <v>159.835904041954</v>
      </c>
      <c r="AJ119" s="18" t="n">
        <f aca="false">0.950724+0.051818*COS(Q119)+0.009531*COS(2*S119-Q119)+0.007843*COS(2*S119)+0.002824*COS(2*Q119)+0.000857*COS(2*S119+Q119)+0.000533*COS(2*S119-R119)+0.000401*COS(2*S119-R119-Q119)+0.00032*COS(Q119-R119)-0.000271*COS(S119)</f>
        <v>0.908631873932591</v>
      </c>
      <c r="AK119" s="50" t="n">
        <f aca="false">ASIN(COS($A$4*$G$2)*COS($A$4*AG119)*COS($A$4*AI119)+SIN($A$4*$G$2)*SIN($A$4*AG119))/$A$4</f>
        <v>-71.284596817425</v>
      </c>
      <c r="AL119" s="18" t="n">
        <f aca="false">ASIN((0.9983271+0.0016764*COS($A$4*2*$G$2))*COS($A$4*AK119)*SIN($A$4*AJ119))/$A$4</f>
        <v>0.291391374930762</v>
      </c>
      <c r="AM119" s="18" t="n">
        <f aca="false">AK119-AL119</f>
        <v>-71.5759881923558</v>
      </c>
      <c r="AN119" s="10" t="n">
        <f aca="false"> IF(280.4664567 + 360007.6982779*M119/10 + 0.03032028*M119^2/100 + M119^3/49931000&lt;0,MOD(280.4664567 + 360007.6982779*M119/10 + 0.03032028*M119^2/100 + M119^3/49931000+360,360),MOD(280.4664567 + 360007.6982779*M119/10 + 0.03032028*M119^2/100 + M119^3/49931000,360))</f>
        <v>204.132656508264</v>
      </c>
      <c r="AO119" s="27" t="n">
        <f aca="false"> AN119 + (1.9146 - 0.004817*M119 - 0.000014*M119^2)*SIN(R119)+ (0.019993 - 0.000101*M119)*SIN(2*R119)+ 0.00029*SIN(3*R119)</f>
        <v>202.24593929611</v>
      </c>
      <c r="AP119" s="18" t="n">
        <f aca="false">ACOS(COS(X119-$A$4*AO119)*COS(Y119))/$A$4</f>
        <v>112.825318082565</v>
      </c>
      <c r="AQ119" s="25" t="n">
        <f aca="false">180 - AP119 -0.1468*(1-0.0549*SIN(R119))*SIN($A$4*AP119)/(1-0.0167*SIN($A$4*AO119))</f>
        <v>67.0329768191266</v>
      </c>
      <c r="AR119" s="25" t="n">
        <f aca="false">SIN($A$4*AI119)</f>
        <v>0.344710030456571</v>
      </c>
      <c r="AS119" s="25" t="n">
        <f aca="false">COS($A$4*AI119)*SIN($A$4*$G$2) - TAN($A$4*AG119)*COS($A$4*$G$2)</f>
        <v>-0.106559578005962</v>
      </c>
      <c r="AT119" s="25" t="n">
        <f aca="false">IF(OR(AND(AR119*AS119&gt;0), AND(AR119&lt;0,AS119&gt;0)), MOD(ATAN2(AS119,AR119)/$A$4+360,360),  ATAN2(AS119,AR119)/$A$4)</f>
        <v>107.17785187465</v>
      </c>
      <c r="AU119" s="29" t="n">
        <f aca="false">(1+SIN($A$4*H119)*SIN($A$4*AJ119))*120*ASIN(0.272481*SIN($A$4*AJ119))/$A$4</f>
        <v>29.2620613286264</v>
      </c>
      <c r="AV119" s="10" t="n">
        <f aca="false">COS(X119)</f>
        <v>0.0110288374208089</v>
      </c>
      <c r="AW119" s="10" t="n">
        <f aca="false">SIN(X119)</f>
        <v>0.999939180523068</v>
      </c>
      <c r="AX119" s="30" t="n">
        <f aca="false"> 385000.56 + (-20905355*COS(Q119) - 3699111*COS(2*S119-Q119) - 2955968*COS(2*S119) - 569925*COS(2*Q119) + (1-0.002516*M119)*48888*COS(R119) - 3149*COS(2*T119)  +246158*COS(2*S119-2*Q119) -(1-0.002516*M119)*152138*COS(2*S119-R119-Q119) -170733*COS(2*S119+Q119) -(1-0.002516*M119)*204586*COS(2*S119-R119) -(1-0.002516*M119)*129620*COS(R119-Q119)  + 108743*COS(S119) +(1-0.002516*M119)*104755*COS(R119+Q119) +10321*COS(2*S119-2*T119) +79661*COS(Q119-2*T119) -34782*COS(4*S119-Q119) -23210*COS(3*Q119)  -21636*COS(4*S119-2*Q119) +(1-0.002516*M119)*24208*COS(2*S119+R119-Q119) +(1-0.002516*M119)*30824*COS(2*S119+R119) -8379*COS(S119-Q119) -(1-0.002516*M119)*16675*COS(S119+R119)  -(1-0.002516*M119)*12831*COS(2*S119-R119+Q119) -10445*COS(2*S119+2*Q119) -11650*COS(4*S119) +14403*COS(2*S119-3*Q119) -(1-0.002516*M119)*7003*COS(R119-2*Q119)  + (1-0.002516*M119)*10056*COS(2*S119-R119-2*Q119) +6322*COS(S119+Q119) -(1-0.002516*M119)*(1-0.002516*M119)*9884*COS(2*S119-2*R119) +(1-0.002516*M119)*5751*COS(R119+2*Q119) -(1-0.002516*M119)*(1-0.002516*M119)*4950*COS(2*S119-2*R119-Q119)  +4130*COS(2*S119+Q119-2*T119) -(1-0.002516*M119)*3958*COS(4*S119-R119-Q119) +3258*COS(3*S119-Q119) +(1-0.002516*M119)*2616*COS(2*S119+R119+Q119) -(1-0.002516*M119)*1897*COS(4*S119-R119-2*Q119)  -(1-0.002516*M119)*(1-0.002516*M119)*2117*COS(2*R119-Q119) +(1-0.002516*M119)*(1-0.002516*M119)*2354*COS(2*S119+2*R119-Q119) -1423*COS(4*S119+Q119) -1117*COS(4*Q119) -(1-0.002516*M119)*1571*COS(4*S119-R119)  -1739*COS(S119-2*Q119) -4421*COS(2*Q119-2*T119) +(1-0.002516*M119)*(1-0.002516*M119)*1165*COS(2*R119+Q119) +8752*COS(2*S119-Q119-2*T119))/1000</f>
        <v>402242.539899646</v>
      </c>
      <c r="AY119" s="10" t="n">
        <f aca="false">AY118+1/8</f>
        <v>15.625</v>
      </c>
      <c r="AZ119" s="17" t="n">
        <f aca="false">AZ118+1</f>
        <v>118</v>
      </c>
      <c r="BA119" s="32" t="n">
        <f aca="false">ATAN(0.99664719*TAN($A$4*input!$E$2))</f>
        <v>-0.400219206115995</v>
      </c>
      <c r="BB119" s="32" t="n">
        <f aca="false">COS(BA119)</f>
        <v>0.920975608992155</v>
      </c>
      <c r="BC119" s="32" t="n">
        <f aca="false">0.99664719*SIN(BA119)</f>
        <v>-0.388313912533463</v>
      </c>
      <c r="BD119" s="32" t="n">
        <f aca="false">6378.14/AX119</f>
        <v>0.0158564531777053</v>
      </c>
      <c r="BE119" s="33" t="n">
        <f aca="false">MOD(N119-15*AH119,360)</f>
        <v>159.835904041954</v>
      </c>
      <c r="BF119" s="27" t="n">
        <f aca="false">COS($A$4*AG119)*SIN($A$4*BE119)</f>
        <v>0.306554552701226</v>
      </c>
      <c r="BG119" s="27" t="n">
        <f aca="false">COS($A$4*AG119)*COS($A$4*BE119)-BB119*BD119</f>
        <v>-0.849408195699167</v>
      </c>
      <c r="BH119" s="27" t="n">
        <f aca="false">SIN($A$4*AG119)-BC119*BD119</f>
        <v>0.4634594466325</v>
      </c>
      <c r="BI119" s="46" t="n">
        <f aca="false">SQRT(BF119^2+BG119^2+BH119^2)</f>
        <v>1.01501952462781</v>
      </c>
      <c r="BJ119" s="35" t="n">
        <f aca="false">AX119*BI119</f>
        <v>408284.031634022</v>
      </c>
    </row>
    <row r="120" customFormat="false" ht="15" hidden="false" customHeight="false" outlineLevel="0" collapsed="false">
      <c r="A120" s="20"/>
      <c r="B120" s="20"/>
      <c r="C120" s="15" t="n">
        <f aca="false">MOD(C119+3,24)</f>
        <v>18</v>
      </c>
      <c r="D120" s="17" t="n">
        <v>15</v>
      </c>
      <c r="E120" s="102" t="n">
        <f aca="false">input!$C$2</f>
        <v>10</v>
      </c>
      <c r="F120" s="102" t="n">
        <f aca="false">input!$D$2</f>
        <v>2022</v>
      </c>
      <c r="H120" s="39" t="n">
        <f aca="false">AM120</f>
        <v>-68.8579748964598</v>
      </c>
      <c r="I120" s="48" t="n">
        <f aca="false">H120+1.02/(TAN($A$4*(H120+10.3/(H120+5.11)))*60)</f>
        <v>-68.8644939310543</v>
      </c>
      <c r="J120" s="39" t="n">
        <f aca="false">100*(1+COS($A$4*AQ120))/2</f>
        <v>68.4045111964974</v>
      </c>
      <c r="K120" s="48" t="n">
        <f aca="false">IF(AI120&gt;180,AT120-180,AT120+180)</f>
        <v>73.6019519138069</v>
      </c>
      <c r="L120" s="10" t="n">
        <f aca="false">L119+1/8</f>
        <v>2459868.25</v>
      </c>
      <c r="M120" s="49" t="n">
        <f aca="false">(L120-2451545)/36525</f>
        <v>0.227878165639973</v>
      </c>
      <c r="N120" s="15" t="n">
        <f aca="false">MOD(280.46061837+360.98564736629*(L120-2451545)+0.000387933*M120^2-M120^3/38710000+$G$4,360)</f>
        <v>294.250079988036</v>
      </c>
      <c r="O120" s="18" t="n">
        <f aca="false">0.60643382+1336.85522467*M120 - 0.00000313*M120^2 - INT(0.60643382+1336.85522467*M120 - 0.00000313*M120^2)</f>
        <v>0.246549981477017</v>
      </c>
      <c r="P120" s="15" t="n">
        <f aca="false">22640*SIN(Q120)-4586*SIN(Q120-2*S120)+2370*SIN(2*S120)+769*SIN(2*Q120)-668*SIN(R120)-412*SIN(2*T120)-212*SIN(2*Q120-2*S120)-206*SIN(Q120+R120-2*S120)+192*SIN(Q120+2*S120)-165*SIN(R120-2*S120)-125*SIN(S120)-110*SIN(Q120+R120)+148*SIN(Q120-R120)-55*SIN(2*T120-2*S120)</f>
        <v>7579.83432401613</v>
      </c>
      <c r="Q120" s="18" t="n">
        <f aca="false">2*PI()*(0.374897+1325.55241*M120 - INT(0.374897+1325.55241*M120))</f>
        <v>2.7605089852043</v>
      </c>
      <c r="R120" s="26" t="n">
        <f aca="false">2*PI()*(0.99312619+99.99735956*M120 - 0.00000044*M120^2 - INT(0.99312619+99.99735956*M120- 0.00000044*M120^2))</f>
        <v>4.90302731015082</v>
      </c>
      <c r="S120" s="26" t="n">
        <f aca="false">2*PI()*(0.827361+1236.853086*M120 - INT(0.827361+1236.853086*M120))</f>
        <v>4.26737235190479</v>
      </c>
      <c r="T120" s="26" t="n">
        <f aca="false">2*PI()*(0.259086+1342.227825*M120 - INT(0.259086+1342.227825*M120))</f>
        <v>0.775977355971219</v>
      </c>
      <c r="U120" s="26" t="n">
        <f aca="false">T120+(P120+412*SIN(2*T120)+541*SIN(R120))/206264.8062</f>
        <v>0.812147182366621</v>
      </c>
      <c r="V120" s="26" t="n">
        <f aca="false">T120-2*S120</f>
        <v>-7.75876734783836</v>
      </c>
      <c r="W120" s="25" t="n">
        <f aca="false">-526*SIN(V120)+44*SIN(Q120+V120)-31*SIN(-Q120+V120)-23*SIN(R120+V120)+11*SIN(-R120+V120)-25*SIN(-2*Q120+T120)+21*SIN(-Q120+T120)</f>
        <v>499.5047539053</v>
      </c>
      <c r="X120" s="26" t="n">
        <f aca="false">2*PI()*(O120+P120/1296000-INT(O120+P120/1296000))</f>
        <v>1.58586729491006</v>
      </c>
      <c r="Y120" s="26" t="n">
        <f aca="false">(18520*SIN(U120)+W120)/206264.8062</f>
        <v>0.067586376010429</v>
      </c>
      <c r="Z120" s="26" t="n">
        <f aca="false">Y120*180/PI()</f>
        <v>3.87241409798182</v>
      </c>
      <c r="AA120" s="26" t="n">
        <f aca="false">COS(Y120)*COS(X120)</f>
        <v>-0.0150359905283714</v>
      </c>
      <c r="AB120" s="26" t="n">
        <f aca="false">COS(Y120)*SIN(X120)</f>
        <v>0.997603604556501</v>
      </c>
      <c r="AC120" s="26" t="n">
        <f aca="false">SIN(Y120)</f>
        <v>0.0675349329214673</v>
      </c>
      <c r="AD120" s="26" t="n">
        <f aca="false">COS($A$4*(23.4393-46.815*M120/3600))*AB120-SIN($A$4*(23.4393-46.815*M120/3600))*AC120</f>
        <v>0.888443214971487</v>
      </c>
      <c r="AE120" s="26" t="n">
        <f aca="false">SIN($A$4*(23.4393-46.815*M120/3600))*AB120+COS($A$4*(23.4393-46.815*M120/3600))*AC120</f>
        <v>0.458740201813574</v>
      </c>
      <c r="AF120" s="26" t="n">
        <f aca="false">SQRT(1-AE120*AE120)</f>
        <v>0.888570440224095</v>
      </c>
      <c r="AG120" s="10" t="n">
        <f aca="false">ATAN(AE120/AF120)/$A$4</f>
        <v>27.3058448631683</v>
      </c>
      <c r="AH120" s="26" t="n">
        <f aca="false">IF(24*ATAN(AD120/(AA120+AF120))/PI()&gt;0,24*ATAN(AD120/(AA120+AF120))/PI(),24*ATAN(AD120/(AA120+AF120))/PI()+24)</f>
        <v>6.06463865086434</v>
      </c>
      <c r="AI120" s="10" t="n">
        <f aca="false">IF(N120-15*AH120&gt;0,N120-15*AH120,360+N120-15*AH120)</f>
        <v>203.280500225071</v>
      </c>
      <c r="AJ120" s="18" t="n">
        <f aca="false">0.950724+0.051818*COS(Q120)+0.009531*COS(2*S120-Q120)+0.007843*COS(2*S120)+0.002824*COS(2*Q120)+0.000857*COS(2*S120+Q120)+0.000533*COS(2*S120-R120)+0.000401*COS(2*S120-R120-Q120)+0.00032*COS(Q120-R120)-0.000271*COS(S120)</f>
        <v>0.908037226334548</v>
      </c>
      <c r="AK120" s="50" t="n">
        <f aca="false">ASIN(COS($A$4*$G$2)*COS($A$4*AG120)*COS($A$4*AI120)+SIN($A$4*$G$2)*SIN($A$4*AG120))/$A$4</f>
        <v>-68.5257387415245</v>
      </c>
      <c r="AL120" s="18" t="n">
        <f aca="false">ASIN((0.9983271+0.0016764*COS($A$4*2*$G$2))*COS($A$4*AK120)*SIN($A$4*AJ120))/$A$4</f>
        <v>0.332236154935346</v>
      </c>
      <c r="AM120" s="18" t="n">
        <f aca="false">AK120-AL120</f>
        <v>-68.8579748964598</v>
      </c>
      <c r="AN120" s="10" t="n">
        <f aca="false"> IF(280.4664567 + 360007.6982779*M120/10 + 0.03032028*M120^2/100 + M120^3/49931000&lt;0,MOD(280.4664567 + 360007.6982779*M120/10 + 0.03032028*M120^2/100 + M120^3/49931000+360,360),MOD(280.4664567 + 360007.6982779*M120/10 + 0.03032028*M120^2/100 + M120^3/49931000,360))</f>
        <v>204.255862428749</v>
      </c>
      <c r="AO120" s="27" t="n">
        <f aca="false"> AN120 + (1.9146 - 0.004817*M120 - 0.000014*M120^2)*SIN(R120)+ (0.019993 - 0.000101*M120)*SIN(2*R120)+ 0.00029*SIN(3*R120)</f>
        <v>202.369839738102</v>
      </c>
      <c r="AP120" s="18" t="n">
        <f aca="false">ACOS(COS(X120-$A$4*AO120)*COS(Y120))/$A$4</f>
        <v>111.454801299071</v>
      </c>
      <c r="AQ120" s="25" t="n">
        <f aca="false">180 - AP120 -0.1468*(1-0.0549*SIN(R120))*SIN($A$4*AP120)/(1-0.0167*SIN($A$4*AO120))</f>
        <v>68.4021154314141</v>
      </c>
      <c r="AR120" s="25" t="n">
        <f aca="false">SIN($A$4*AI120)</f>
        <v>-0.395232899958759</v>
      </c>
      <c r="AS120" s="25" t="n">
        <f aca="false">COS($A$4*AI120)*SIN($A$4*$G$2) - TAN($A$4*AG120)*COS($A$4*$G$2)</f>
        <v>-0.116308737587373</v>
      </c>
      <c r="AT120" s="25" t="n">
        <f aca="false">IF(OR(AND(AR120*AS120&gt;0), AND(AR120&lt;0,AS120&gt;0)), MOD(ATAN2(AS120,AR120)/$A$4+360,360),  ATAN2(AS120,AR120)/$A$4)</f>
        <v>253.601951913807</v>
      </c>
      <c r="AU120" s="29" t="n">
        <f aca="false">(1+SIN($A$4*H120)*SIN($A$4*AJ120))*120*ASIN(0.272481*SIN($A$4*AJ120))/$A$4</f>
        <v>29.2507585027028</v>
      </c>
      <c r="AV120" s="10" t="n">
        <f aca="false">COS(X120)</f>
        <v>-0.015070397599895</v>
      </c>
      <c r="AW120" s="10" t="n">
        <f aca="false">SIN(X120)</f>
        <v>0.999886435109598</v>
      </c>
      <c r="AX120" s="30" t="n">
        <f aca="false"> 385000.56 + (-20905355*COS(Q120) - 3699111*COS(2*S120-Q120) - 2955968*COS(2*S120) - 569925*COS(2*Q120) + (1-0.002516*M120)*48888*COS(R120) - 3149*COS(2*T120)  +246158*COS(2*S120-2*Q120) -(1-0.002516*M120)*152138*COS(2*S120-R120-Q120) -170733*COS(2*S120+Q120) -(1-0.002516*M120)*204586*COS(2*S120-R120) -(1-0.002516*M120)*129620*COS(R120-Q120)  + 108743*COS(S120) +(1-0.002516*M120)*104755*COS(R120+Q120) +10321*COS(2*S120-2*T120) +79661*COS(Q120-2*T120) -34782*COS(4*S120-Q120) -23210*COS(3*Q120)  -21636*COS(4*S120-2*Q120) +(1-0.002516*M120)*24208*COS(2*S120+R120-Q120) +(1-0.002516*M120)*30824*COS(2*S120+R120) -8379*COS(S120-Q120) -(1-0.002516*M120)*16675*COS(S120+R120)  -(1-0.002516*M120)*12831*COS(2*S120-R120+Q120) -10445*COS(2*S120+2*Q120) -11650*COS(4*S120) +14403*COS(2*S120-3*Q120) -(1-0.002516*M120)*7003*COS(R120-2*Q120)  + (1-0.002516*M120)*10056*COS(2*S120-R120-2*Q120) +6322*COS(S120+Q120) -(1-0.002516*M120)*(1-0.002516*M120)*9884*COS(2*S120-2*R120) +(1-0.002516*M120)*5751*COS(R120+2*Q120) -(1-0.002516*M120)*(1-0.002516*M120)*4950*COS(2*S120-2*R120-Q120)  +4130*COS(2*S120+Q120-2*T120) -(1-0.002516*M120)*3958*COS(4*S120-R120-Q120) +3258*COS(3*S120-Q120) +(1-0.002516*M120)*2616*COS(2*S120+R120+Q120) -(1-0.002516*M120)*1897*COS(4*S120-R120-2*Q120)  -(1-0.002516*M120)*(1-0.002516*M120)*2117*COS(2*R120-Q120) +(1-0.002516*M120)*(1-0.002516*M120)*2354*COS(2*S120+2*R120-Q120) -1423*COS(4*S120+Q120) -1117*COS(4*Q120) -(1-0.002516*M120)*1571*COS(4*S120-R120)  -1739*COS(S120-2*Q120) -4421*COS(2*Q120-2*T120) +(1-0.002516*M120)*(1-0.002516*M120)*1165*COS(2*R120+Q120) +8752*COS(2*S120-Q120-2*T120))/1000</f>
        <v>402514.851265045</v>
      </c>
      <c r="AY120" s="10" t="n">
        <f aca="false">AY119+1/8</f>
        <v>15.75</v>
      </c>
      <c r="AZ120" s="17" t="n">
        <f aca="false">AZ119+1</f>
        <v>119</v>
      </c>
      <c r="BA120" s="32" t="n">
        <f aca="false">ATAN(0.99664719*TAN($A$4*input!$E$2))</f>
        <v>-0.400219206115995</v>
      </c>
      <c r="BB120" s="32" t="n">
        <f aca="false">COS(BA120)</f>
        <v>0.920975608992155</v>
      </c>
      <c r="BC120" s="32" t="n">
        <f aca="false">0.99664719*SIN(BA120)</f>
        <v>-0.388313912533463</v>
      </c>
      <c r="BD120" s="32" t="n">
        <f aca="false">6378.14/AX120</f>
        <v>0.0158457258904968</v>
      </c>
      <c r="BE120" s="33" t="n">
        <f aca="false">MOD(N120-15*AH120,360)</f>
        <v>203.280500225071</v>
      </c>
      <c r="BF120" s="27" t="n">
        <f aca="false">COS($A$4*AG120)*SIN($A$4*BE120)</f>
        <v>-0.3511922719074</v>
      </c>
      <c r="BG120" s="27" t="n">
        <f aca="false">COS($A$4*AG120)*COS($A$4*BE120)-BB120*BD120</f>
        <v>-0.830817402831455</v>
      </c>
      <c r="BH120" s="27" t="n">
        <f aca="false">SIN($A$4*AG120)-BC120*BD120</f>
        <v>0.464893317631045</v>
      </c>
      <c r="BI120" s="46" t="n">
        <f aca="false">SQRT(BF120^2+BG120^2+BH120^2)</f>
        <v>1.01475088838251</v>
      </c>
      <c r="BJ120" s="35" t="n">
        <f aca="false">AX120*BI120</f>
        <v>408452.302908356</v>
      </c>
    </row>
    <row r="121" customFormat="false" ht="15" hidden="false" customHeight="false" outlineLevel="0" collapsed="false">
      <c r="A121" s="20"/>
      <c r="B121" s="20"/>
      <c r="C121" s="15" t="n">
        <f aca="false">MOD(C120+3,24)</f>
        <v>21</v>
      </c>
      <c r="D121" s="17" t="n">
        <v>15</v>
      </c>
      <c r="E121" s="102" t="n">
        <f aca="false">input!$C$2</f>
        <v>10</v>
      </c>
      <c r="F121" s="102" t="n">
        <f aca="false">input!$D$2</f>
        <v>2022</v>
      </c>
      <c r="H121" s="39" t="n">
        <f aca="false">AM121</f>
        <v>-30.961261704133</v>
      </c>
      <c r="I121" s="48" t="n">
        <f aca="false">H121+1.02/(TAN($A$4*(H121+10.3/(H121+5.11)))*60)</f>
        <v>-30.989156280792</v>
      </c>
      <c r="J121" s="39" t="n">
        <f aca="false">100*(1+COS($A$4*AQ121))/2</f>
        <v>67.2900211795855</v>
      </c>
      <c r="K121" s="48" t="n">
        <f aca="false">IF(AI121&gt;180,AT121-180,AT121+180)</f>
        <v>70.6660017855289</v>
      </c>
      <c r="L121" s="10" t="n">
        <f aca="false">L120+1/8</f>
        <v>2459868.375</v>
      </c>
      <c r="M121" s="49" t="n">
        <f aca="false">(L121-2451545)/36525</f>
        <v>0.227881587953457</v>
      </c>
      <c r="N121" s="15" t="n">
        <f aca="false">MOD(280.46061837+360.98564736629*(L121-2451545)+0.000387933*M121^2-M121^3/38710000+$G$4,360)</f>
        <v>339.373285909183</v>
      </c>
      <c r="O121" s="18" t="n">
        <f aca="false">0.60643382+1336.85522467*M121 - 0.00000313*M121^2 - INT(0.60643382+1336.85522467*M121 - 0.00000313*M121^2)</f>
        <v>0.251125119133576</v>
      </c>
      <c r="P121" s="15" t="n">
        <f aca="false">22640*SIN(Q121)-4586*SIN(Q121-2*S121)+2370*SIN(2*S121)+769*SIN(2*Q121)-668*SIN(R121)-412*SIN(2*T121)-212*SIN(2*Q121-2*S121)-206*SIN(Q121+R121-2*S121)+192*SIN(Q121+2*S121)-165*SIN(R121-2*S121)-125*SIN(S121)-110*SIN(Q121+R121)+148*SIN(Q121-R121)-55*SIN(2*T121-2*S121)</f>
        <v>7027.83215027114</v>
      </c>
      <c r="Q121" s="18" t="n">
        <f aca="false">2*PI()*(0.374897+1325.55241*M121 - INT(0.374897+1325.55241*M121))</f>
        <v>2.78901237817646</v>
      </c>
      <c r="R121" s="26" t="n">
        <f aca="false">2*PI()*(0.99312619+99.99735956*M121 - 0.00000044*M121^2 - INT(0.99312619+99.99735956*M121- 0.00000044*M121^2))</f>
        <v>4.90517755634892</v>
      </c>
      <c r="S121" s="26" t="n">
        <f aca="false">2*PI()*(0.827361+1236.853086*M121 - INT(0.827361+1236.853086*M121))</f>
        <v>4.29396844066935</v>
      </c>
      <c r="T121" s="26" t="n">
        <f aca="false">2*PI()*(0.259086+1342.227825*M121 - INT(0.259086+1342.227825*M121))</f>
        <v>0.804839320888621</v>
      </c>
      <c r="U121" s="26" t="n">
        <f aca="false">T121+(P121+412*SIN(2*T121)+541*SIN(R121))/206264.8062</f>
        <v>0.838332884667869</v>
      </c>
      <c r="V121" s="26" t="n">
        <f aca="false">T121-2*S121</f>
        <v>-7.78309756045008</v>
      </c>
      <c r="W121" s="25" t="n">
        <f aca="false">-526*SIN(V121)+44*SIN(Q121+V121)-31*SIN(-Q121+V121)-23*SIN(R121+V121)+11*SIN(-R121+V121)-25*SIN(-2*Q121+T121)+21*SIN(-Q121+T121)</f>
        <v>499.154893823135</v>
      </c>
      <c r="X121" s="26" t="n">
        <f aca="false">2*PI()*(O121+P121/1296000-INT(O121+P121/1296000))</f>
        <v>1.61193755055374</v>
      </c>
      <c r="Y121" s="26" t="n">
        <f aca="false">(18520*SIN(U121)+W121)/206264.8062</f>
        <v>0.0691796079284223</v>
      </c>
      <c r="Z121" s="26" t="n">
        <f aca="false">Y121*180/PI()</f>
        <v>3.96369956266837</v>
      </c>
      <c r="AA121" s="26" t="n">
        <f aca="false">COS(Y121)*COS(X121)</f>
        <v>-0.0410312386068425</v>
      </c>
      <c r="AB121" s="26" t="n">
        <f aca="false">COS(Y121)*SIN(X121)</f>
        <v>0.996763888350843</v>
      </c>
      <c r="AC121" s="26" t="n">
        <f aca="false">SIN(Y121)</f>
        <v>0.0691244409604559</v>
      </c>
      <c r="AD121" s="26" t="n">
        <f aca="false">COS($A$4*(23.4393-46.815*M121/3600))*AB121-SIN($A$4*(23.4393-46.815*M121/3600))*AC121</f>
        <v>0.88704057876377</v>
      </c>
      <c r="AE121" s="26" t="n">
        <f aca="false">SIN($A$4*(23.4393-46.815*M121/3600))*AB121+COS($A$4*(23.4393-46.815*M121/3600))*AC121</f>
        <v>0.459864598642714</v>
      </c>
      <c r="AF121" s="26" t="n">
        <f aca="false">SQRT(1-AE121*AE121)</f>
        <v>0.887989048871198</v>
      </c>
      <c r="AG121" s="10" t="n">
        <f aca="false">ATAN(AE121/AF121)/$A$4</f>
        <v>27.3783706464038</v>
      </c>
      <c r="AH121" s="26" t="n">
        <f aca="false">IF(24*ATAN(AD121/(AA121+AF121))/PI()&gt;0,24*ATAN(AD121/(AA121+AF121))/PI(),24*ATAN(AD121/(AA121+AF121))/PI()+24)</f>
        <v>6.17656029833696</v>
      </c>
      <c r="AI121" s="10" t="n">
        <f aca="false">IF(N121-15*AH121&gt;0,N121-15*AH121,360+N121-15*AH121)</f>
        <v>246.724881434129</v>
      </c>
      <c r="AJ121" s="18" t="n">
        <f aca="false">0.950724+0.051818*COS(Q121)+0.009531*COS(2*S121-Q121)+0.007843*COS(2*S121)+0.002824*COS(2*Q121)+0.000857*COS(2*S121+Q121)+0.000533*COS(2*S121-R121)+0.000401*COS(2*S121-R121-Q121)+0.00032*COS(Q121-R121)-0.000271*COS(S121)</f>
        <v>0.907483352964942</v>
      </c>
      <c r="AK121" s="50" t="n">
        <f aca="false">ASIN(COS($A$4*$G$2)*COS($A$4*AG121)*COS($A$4*AI121)+SIN($A$4*$G$2)*SIN($A$4*AG121))/$A$4</f>
        <v>-30.1771720256459</v>
      </c>
      <c r="AL121" s="18" t="n">
        <f aca="false">ASIN((0.9983271+0.0016764*COS($A$4*2*$G$2))*COS($A$4*AK121)*SIN($A$4*AJ121))/$A$4</f>
        <v>0.784089678487126</v>
      </c>
      <c r="AM121" s="18" t="n">
        <f aca="false">AK121-AL121</f>
        <v>-30.961261704133</v>
      </c>
      <c r="AN121" s="10" t="n">
        <f aca="false"> IF(280.4664567 + 360007.6982779*M121/10 + 0.03032028*M121^2/100 + M121^3/49931000&lt;0,MOD(280.4664567 + 360007.6982779*M121/10 + 0.03032028*M121^2/100 + M121^3/49931000+360,360),MOD(280.4664567 + 360007.6982779*M121/10 + 0.03032028*M121^2/100 + M121^3/49931000,360))</f>
        <v>204.379068349235</v>
      </c>
      <c r="AO121" s="27" t="n">
        <f aca="false"> AN121 + (1.9146 - 0.004817*M121 - 0.000014*M121^2)*SIN(R121)+ (0.019993 - 0.000101*M121)*SIN(2*R121)+ 0.00029*SIN(3*R121)</f>
        <v>202.493748994271</v>
      </c>
      <c r="AP121" s="18" t="n">
        <f aca="false">ACOS(COS(X121-$A$4*AO121)*COS(Y121))/$A$4</f>
        <v>110.086286693257</v>
      </c>
      <c r="AQ121" s="25" t="n">
        <f aca="false">180 - AP121 -0.1468*(1-0.0549*SIN(R121))*SIN($A$4*AP121)/(1-0.0167*SIN($A$4*AO121))</f>
        <v>69.7693357503758</v>
      </c>
      <c r="AR121" s="25" t="n">
        <f aca="false">SIN($A$4*AI121)</f>
        <v>-0.91861806549148</v>
      </c>
      <c r="AS121" s="25" t="n">
        <f aca="false">COS($A$4*AI121)*SIN($A$4*$G$2) - TAN($A$4*AG121)*COS($A$4*$G$2)</f>
        <v>-0.322307536985758</v>
      </c>
      <c r="AT121" s="25" t="n">
        <f aca="false">IF(OR(AND(AR121*AS121&gt;0), AND(AR121&lt;0,AS121&gt;0)), MOD(ATAN2(AS121,AR121)/$A$4+360,360),  ATAN2(AS121,AR121)/$A$4)</f>
        <v>250.666001785529</v>
      </c>
      <c r="AU121" s="29" t="n">
        <f aca="false">(1+SIN($A$4*H121)*SIN($A$4*AJ121))*120*ASIN(0.272481*SIN($A$4*AJ121))/$A$4</f>
        <v>29.429726391326</v>
      </c>
      <c r="AV121" s="10" t="n">
        <f aca="false">COS(X121)</f>
        <v>-0.0411296187997842</v>
      </c>
      <c r="AW121" s="10" t="n">
        <f aca="false">SIN(X121)</f>
        <v>0.999153819217734</v>
      </c>
      <c r="AX121" s="30" t="n">
        <f aca="false"> 385000.56 + (-20905355*COS(Q121) - 3699111*COS(2*S121-Q121) - 2955968*COS(2*S121) - 569925*COS(2*Q121) + (1-0.002516*M121)*48888*COS(R121) - 3149*COS(2*T121)  +246158*COS(2*S121-2*Q121) -(1-0.002516*M121)*152138*COS(2*S121-R121-Q121) -170733*COS(2*S121+Q121) -(1-0.002516*M121)*204586*COS(2*S121-R121) -(1-0.002516*M121)*129620*COS(R121-Q121)  + 108743*COS(S121) +(1-0.002516*M121)*104755*COS(R121+Q121) +10321*COS(2*S121-2*T121) +79661*COS(Q121-2*T121) -34782*COS(4*S121-Q121) -23210*COS(3*Q121)  -21636*COS(4*S121-2*Q121) +(1-0.002516*M121)*24208*COS(2*S121+R121-Q121) +(1-0.002516*M121)*30824*COS(2*S121+R121) -8379*COS(S121-Q121) -(1-0.002516*M121)*16675*COS(S121+R121)  -(1-0.002516*M121)*12831*COS(2*S121-R121+Q121) -10445*COS(2*S121+2*Q121) -11650*COS(4*S121) +14403*COS(2*S121-3*Q121) -(1-0.002516*M121)*7003*COS(R121-2*Q121)  + (1-0.002516*M121)*10056*COS(2*S121-R121-2*Q121) +6322*COS(S121+Q121) -(1-0.002516*M121)*(1-0.002516*M121)*9884*COS(2*S121-2*R121) +(1-0.002516*M121)*5751*COS(R121+2*Q121) -(1-0.002516*M121)*(1-0.002516*M121)*4950*COS(2*S121-2*R121-Q121)  +4130*COS(2*S121+Q121-2*T121) -(1-0.002516*M121)*3958*COS(4*S121-R121-Q121) +3258*COS(3*S121-Q121) +(1-0.002516*M121)*2616*COS(2*S121+R121+Q121) -(1-0.002516*M121)*1897*COS(4*S121-R121-2*Q121)  -(1-0.002516*M121)*(1-0.002516*M121)*2117*COS(2*R121-Q121) +(1-0.002516*M121)*(1-0.002516*M121)*2354*COS(2*S121+2*R121-Q121) -1423*COS(4*S121+Q121) -1117*COS(4*Q121) -(1-0.002516*M121)*1571*COS(4*S121-R121)  -1739*COS(S121-2*Q121) -4421*COS(2*Q121-2*T121) +(1-0.002516*M121)*(1-0.002516*M121)*1165*COS(2*R121+Q121) +8752*COS(2*S121-Q121-2*T121))/1000</f>
        <v>402769.270044658</v>
      </c>
      <c r="AY121" s="10" t="n">
        <f aca="false">AY120+1/8</f>
        <v>15.875</v>
      </c>
      <c r="AZ121" s="17" t="n">
        <f aca="false">AZ120+1</f>
        <v>120</v>
      </c>
      <c r="BA121" s="32" t="n">
        <f aca="false">ATAN(0.99664719*TAN($A$4*input!$E$2))</f>
        <v>-0.400219206115995</v>
      </c>
      <c r="BB121" s="32" t="n">
        <f aca="false">COS(BA121)</f>
        <v>0.920975608992155</v>
      </c>
      <c r="BC121" s="32" t="n">
        <f aca="false">0.99664719*SIN(BA121)</f>
        <v>-0.388313912533463</v>
      </c>
      <c r="BD121" s="32" t="n">
        <f aca="false">6378.14/AX121</f>
        <v>0.0158357165612283</v>
      </c>
      <c r="BE121" s="33" t="n">
        <f aca="false">MOD(N121-15*AH121,360)</f>
        <v>246.724881434129</v>
      </c>
      <c r="BF121" s="27" t="n">
        <f aca="false">COS($A$4*AG121)*SIN($A$4*BE121)</f>
        <v>-0.815722782251679</v>
      </c>
      <c r="BG121" s="27" t="n">
        <f aca="false">COS($A$4*AG121)*COS($A$4*BE121)-BB121*BD121</f>
        <v>-0.365470178226581</v>
      </c>
      <c r="BH121" s="27" t="n">
        <f aca="false">SIN($A$4*AG121)-BC121*BD121</f>
        <v>0.466013827698375</v>
      </c>
      <c r="BI121" s="46" t="n">
        <f aca="false">SQRT(BF121^2+BG121^2+BH121^2)</f>
        <v>1.00803819186749</v>
      </c>
      <c r="BJ121" s="35" t="n">
        <f aca="false">AX121*BI121</f>
        <v>406006.806715606</v>
      </c>
    </row>
    <row r="122" customFormat="false" ht="15" hidden="false" customHeight="false" outlineLevel="0" collapsed="false">
      <c r="A122" s="20"/>
      <c r="B122" s="20"/>
      <c r="C122" s="15" t="n">
        <f aca="false">MOD(C121+3,24)</f>
        <v>0</v>
      </c>
      <c r="D122" s="36" t="n">
        <v>16</v>
      </c>
      <c r="E122" s="102" t="n">
        <f aca="false">input!$C$2</f>
        <v>10</v>
      </c>
      <c r="F122" s="102" t="n">
        <f aca="false">input!$D$2</f>
        <v>2022</v>
      </c>
      <c r="H122" s="39" t="n">
        <f aca="false">AM122</f>
        <v>4.93546991181586</v>
      </c>
      <c r="I122" s="48" t="n">
        <f aca="false">H122+1.02/(TAN($A$4*(H122+10.3/(H122+5.11)))*60)</f>
        <v>5.09828536425913</v>
      </c>
      <c r="J122" s="39" t="n">
        <f aca="false">100*(1+COS($A$4*AQ122))/2</f>
        <v>66.1671463635111</v>
      </c>
      <c r="K122" s="48" t="n">
        <f aca="false">IF(AI122&gt;180,AT122-180,AT122+180)</f>
        <v>56.8752179274387</v>
      </c>
      <c r="L122" s="10" t="n">
        <f aca="false">L121+1/8</f>
        <v>2459868.5</v>
      </c>
      <c r="M122" s="49" t="n">
        <f aca="false">(L122-2451545)/36525</f>
        <v>0.22788501026694</v>
      </c>
      <c r="N122" s="15" t="n">
        <f aca="false">MOD(280.46061837+360.98564736629*(L122-2451545)+0.000387933*M122^2-M122^3/38710000+$G$4,360)</f>
        <v>24.4964918303303</v>
      </c>
      <c r="O122" s="18" t="n">
        <f aca="false">0.60643382+1336.85522467*M122 - 0.00000313*M122^2 - INT(0.60643382+1336.85522467*M122 - 0.00000313*M122^2)</f>
        <v>0.255700256790078</v>
      </c>
      <c r="P122" s="15" t="n">
        <f aca="false">22640*SIN(Q122)-4586*SIN(Q122-2*S122)+2370*SIN(2*S122)+769*SIN(2*Q122)-668*SIN(R122)-412*SIN(2*T122)-212*SIN(2*Q122-2*S122)-206*SIN(Q122+R122-2*S122)+192*SIN(Q122+2*S122)-165*SIN(R122-2*S122)-125*SIN(S122)-110*SIN(Q122+R122)+148*SIN(Q122-R122)-55*SIN(2*T122-2*S122)</f>
        <v>6470.22622315946</v>
      </c>
      <c r="Q122" s="18" t="n">
        <f aca="false">2*PI()*(0.374897+1325.55241*M122 - INT(0.374897+1325.55241*M122))</f>
        <v>2.81751577114825</v>
      </c>
      <c r="R122" s="26" t="n">
        <f aca="false">2*PI()*(0.99312619+99.99735956*M122 - 0.00000044*M122^2 - INT(0.99312619+99.99735956*M122- 0.00000044*M122^2))</f>
        <v>4.907327802547</v>
      </c>
      <c r="S122" s="26" t="n">
        <f aca="false">2*PI()*(0.827361+1236.853086*M122 - INT(0.827361+1236.853086*M122))</f>
        <v>4.32056452943428</v>
      </c>
      <c r="T122" s="26" t="n">
        <f aca="false">2*PI()*(0.259086+1342.227825*M122 - INT(0.259086+1342.227825*M122))</f>
        <v>0.833701285806381</v>
      </c>
      <c r="U122" s="26" t="n">
        <f aca="false">T122+(P122+412*SIN(2*T122)+541*SIN(R122))/206264.8062</f>
        <v>0.864484782436881</v>
      </c>
      <c r="V122" s="26" t="n">
        <f aca="false">T122-2*S122</f>
        <v>-7.80742777306217</v>
      </c>
      <c r="W122" s="25" t="n">
        <f aca="false">-526*SIN(V122)+44*SIN(Q122+V122)-31*SIN(-Q122+V122)-23*SIN(R122+V122)+11*SIN(-R122+V122)-25*SIN(-2*Q122+T122)+21*SIN(-Q122+T122)</f>
        <v>498.59035260107</v>
      </c>
      <c r="X122" s="26" t="n">
        <f aca="false">2*PI()*(O122+P122/1296000-INT(O122+P122/1296000))</f>
        <v>1.63798063843408</v>
      </c>
      <c r="Y122" s="26" t="n">
        <f aca="false">(18520*SIN(U122)+W122)/206264.8062</f>
        <v>0.0707240552570324</v>
      </c>
      <c r="Z122" s="26" t="n">
        <f aca="false">Y122*180/PI()</f>
        <v>4.05218987627798</v>
      </c>
      <c r="AA122" s="26" t="n">
        <f aca="false">COS(Y122)*COS(X122)</f>
        <v>-0.0669659530627734</v>
      </c>
      <c r="AB122" s="26" t="n">
        <f aca="false">COS(Y122)*SIN(X122)</f>
        <v>0.995249719025172</v>
      </c>
      <c r="AC122" s="26" t="n">
        <f aca="false">SIN(Y122)</f>
        <v>0.0706651109863356</v>
      </c>
      <c r="AD122" s="26" t="n">
        <f aca="false">COS($A$4*(23.4393-46.815*M122/3600))*AB122-SIN($A$4*(23.4393-46.815*M122/3600))*AC122</f>
        <v>0.885038554420149</v>
      </c>
      <c r="AE122" s="26" t="n">
        <f aca="false">SIN($A$4*(23.4393-46.815*M122/3600))*AB122+COS($A$4*(23.4393-46.815*M122/3600))*AC122</f>
        <v>0.460675936337342</v>
      </c>
      <c r="AF122" s="26" t="n">
        <f aca="false">SQRT(1-AE122*AE122)</f>
        <v>0.887568409577376</v>
      </c>
      <c r="AG122" s="10" t="n">
        <f aca="false">ATAN(AE122/AF122)/$A$4</f>
        <v>27.4307330435827</v>
      </c>
      <c r="AH122" s="26" t="n">
        <f aca="false">IF(24*ATAN(AD122/(AA122+AF122))/PI()&gt;0,24*ATAN(AD122/(AA122+AF122))/PI(),24*ATAN(AD122/(AA122+AF122))/PI()+24)</f>
        <v>6.28846723516971</v>
      </c>
      <c r="AI122" s="10" t="n">
        <f aca="false">IF(N122-15*AH122&gt;0,N122-15*AH122,360+N122-15*AH122)</f>
        <v>290.169483302785</v>
      </c>
      <c r="AJ122" s="18" t="n">
        <f aca="false">0.950724+0.051818*COS(Q122)+0.009531*COS(2*S122-Q122)+0.007843*COS(2*S122)+0.002824*COS(2*Q122)+0.000857*COS(2*S122+Q122)+0.000533*COS(2*S122-R122)+0.000401*COS(2*S122-R122-Q122)+0.00032*COS(Q122-R122)-0.000271*COS(S122)</f>
        <v>0.90697069072505</v>
      </c>
      <c r="AK122" s="50" t="n">
        <f aca="false">ASIN(COS($A$4*$G$2)*COS($A$4*AG122)*COS($A$4*AI122)+SIN($A$4*$G$2)*SIN($A$4*AG122))/$A$4</f>
        <v>5.83727861290265</v>
      </c>
      <c r="AL122" s="18" t="n">
        <f aca="false">ASIN((0.9983271+0.0016764*COS($A$4*2*$G$2))*COS($A$4*AK122)*SIN($A$4*AJ122))/$A$4</f>
        <v>0.90180870108679</v>
      </c>
      <c r="AM122" s="18" t="n">
        <f aca="false">AK122-AL122</f>
        <v>4.93546991181586</v>
      </c>
      <c r="AN122" s="10" t="n">
        <f aca="false"> IF(280.4664567 + 360007.6982779*M122/10 + 0.03032028*M122^2/100 + M122^3/49931000&lt;0,MOD(280.4664567 + 360007.6982779*M122/10 + 0.03032028*M122^2/100 + M122^3/49931000+360,360),MOD(280.4664567 + 360007.6982779*M122/10 + 0.03032028*M122^2/100 + M122^3/49931000,360))</f>
        <v>204.50227426972</v>
      </c>
      <c r="AO122" s="27" t="n">
        <f aca="false"> AN122 + (1.9146 - 0.004817*M122 - 0.000014*M122^2)*SIN(R122)+ (0.019993 - 0.000101*M122)*SIN(2*R122)+ 0.00029*SIN(3*R122)</f>
        <v>202.617667062504</v>
      </c>
      <c r="AP122" s="18" t="n">
        <f aca="false">ACOS(COS(X122-$A$4*AO122)*COS(Y122))/$A$4</f>
        <v>108.719624208824</v>
      </c>
      <c r="AQ122" s="25" t="n">
        <f aca="false">180 - AP122 -0.1468*(1-0.0549*SIN(R122))*SIN($A$4*AP122)/(1-0.0167*SIN($A$4*AO122))</f>
        <v>71.1347880731246</v>
      </c>
      <c r="AR122" s="25" t="n">
        <f aca="false">SIN($A$4*AI122)</f>
        <v>-0.938676801271412</v>
      </c>
      <c r="AS122" s="25" t="n">
        <f aca="false">COS($A$4*AI122)*SIN($A$4*$G$2) - TAN($A$4*AG122)*COS($A$4*$G$2)</f>
        <v>-0.612494413285902</v>
      </c>
      <c r="AT122" s="25" t="n">
        <f aca="false">IF(OR(AND(AR122*AS122&gt;0), AND(AR122&lt;0,AS122&gt;0)), MOD(ATAN2(AS122,AR122)/$A$4+360,360),  ATAN2(AS122,AR122)/$A$4)</f>
        <v>236.875217927439</v>
      </c>
      <c r="AU122" s="29" t="n">
        <f aca="false">(1+SIN($A$4*H122)*SIN($A$4*AJ122))*120*ASIN(0.272481*SIN($A$4*AJ122))/$A$4</f>
        <v>29.6951116730039</v>
      </c>
      <c r="AV122" s="10" t="n">
        <f aca="false">COS(X122)</f>
        <v>-0.0671337810514021</v>
      </c>
      <c r="AW122" s="10" t="n">
        <f aca="false">SIN(X122)</f>
        <v>0.997743982914326</v>
      </c>
      <c r="AX122" s="30" t="n">
        <f aca="false"> 385000.56 + (-20905355*COS(Q122) - 3699111*COS(2*S122-Q122) - 2955968*COS(2*S122) - 569925*COS(2*Q122) + (1-0.002516*M122)*48888*COS(R122) - 3149*COS(2*T122)  +246158*COS(2*S122-2*Q122) -(1-0.002516*M122)*152138*COS(2*S122-R122-Q122) -170733*COS(2*S122+Q122) -(1-0.002516*M122)*204586*COS(2*S122-R122) -(1-0.002516*M122)*129620*COS(R122-Q122)  + 108743*COS(S122) +(1-0.002516*M122)*104755*COS(R122+Q122) +10321*COS(2*S122-2*T122) +79661*COS(Q122-2*T122) -34782*COS(4*S122-Q122) -23210*COS(3*Q122)  -21636*COS(4*S122-2*Q122) +(1-0.002516*M122)*24208*COS(2*S122+R122-Q122) +(1-0.002516*M122)*30824*COS(2*S122+R122) -8379*COS(S122-Q122) -(1-0.002516*M122)*16675*COS(S122+R122)  -(1-0.002516*M122)*12831*COS(2*S122-R122+Q122) -10445*COS(2*S122+2*Q122) -11650*COS(4*S122) +14403*COS(2*S122-3*Q122) -(1-0.002516*M122)*7003*COS(R122-2*Q122)  + (1-0.002516*M122)*10056*COS(2*S122-R122-2*Q122) +6322*COS(S122+Q122) -(1-0.002516*M122)*(1-0.002516*M122)*9884*COS(2*S122-2*R122) +(1-0.002516*M122)*5751*COS(R122+2*Q122) -(1-0.002516*M122)*(1-0.002516*M122)*4950*COS(2*S122-2*R122-Q122)  +4130*COS(2*S122+Q122-2*T122) -(1-0.002516*M122)*3958*COS(4*S122-R122-Q122) +3258*COS(3*S122-Q122) +(1-0.002516*M122)*2616*COS(2*S122+R122+Q122) -(1-0.002516*M122)*1897*COS(4*S122-R122-2*Q122)  -(1-0.002516*M122)*(1-0.002516*M122)*2117*COS(2*R122-Q122) +(1-0.002516*M122)*(1-0.002516*M122)*2354*COS(2*S122+2*R122-Q122) -1423*COS(4*S122+Q122) -1117*COS(4*Q122) -(1-0.002516*M122)*1571*COS(4*S122-R122)  -1739*COS(S122-2*Q122) -4421*COS(2*Q122-2*T122) +(1-0.002516*M122)*(1-0.002516*M122)*1165*COS(2*R122+Q122) +8752*COS(2*S122-Q122-2*T122))/1000</f>
        <v>403005.4562171</v>
      </c>
      <c r="AY122" s="10" t="n">
        <f aca="false">AY121+1/8</f>
        <v>16</v>
      </c>
      <c r="AZ122" s="17" t="n">
        <f aca="false">AZ121+1</f>
        <v>121</v>
      </c>
      <c r="BA122" s="32" t="n">
        <f aca="false">ATAN(0.99664719*TAN($A$4*input!$E$2))</f>
        <v>-0.400219206115995</v>
      </c>
      <c r="BB122" s="32" t="n">
        <f aca="false">COS(BA122)</f>
        <v>0.920975608992155</v>
      </c>
      <c r="BC122" s="32" t="n">
        <f aca="false">0.99664719*SIN(BA122)</f>
        <v>-0.388313912533463</v>
      </c>
      <c r="BD122" s="32" t="n">
        <f aca="false">6378.14/AX122</f>
        <v>0.0158264358499506</v>
      </c>
      <c r="BE122" s="33" t="n">
        <f aca="false">MOD(N122-15*AH122,360)</f>
        <v>290.169483302785</v>
      </c>
      <c r="BF122" s="27" t="n">
        <f aca="false">COS($A$4*AG122)*SIN($A$4*BE122)</f>
        <v>-0.833139875611646</v>
      </c>
      <c r="BG122" s="27" t="n">
        <f aca="false">COS($A$4*AG122)*COS($A$4*BE122)-BB122*BD122</f>
        <v>0.291456311018127</v>
      </c>
      <c r="BH122" s="27" t="n">
        <f aca="false">SIN($A$4*AG122)-BC122*BD122</f>
        <v>0.466821561563697</v>
      </c>
      <c r="BI122" s="46" t="n">
        <f aca="false">SQRT(BF122^2+BG122^2+BH122^2)</f>
        <v>0.99849446864129</v>
      </c>
      <c r="BJ122" s="35" t="n">
        <f aca="false">AX122*BI122</f>
        <v>402398.718865034</v>
      </c>
    </row>
    <row r="123" customFormat="false" ht="15" hidden="false" customHeight="false" outlineLevel="0" collapsed="false">
      <c r="A123" s="20"/>
      <c r="B123" s="20"/>
      <c r="C123" s="15" t="n">
        <f aca="false">MOD(C122+3,24)</f>
        <v>3</v>
      </c>
      <c r="D123" s="17" t="n">
        <v>16</v>
      </c>
      <c r="E123" s="102" t="n">
        <f aca="false">input!$C$2</f>
        <v>10</v>
      </c>
      <c r="F123" s="102" t="n">
        <f aca="false">input!$D$2</f>
        <v>2022</v>
      </c>
      <c r="H123" s="39" t="n">
        <f aca="false">AM123</f>
        <v>32.7135553205411</v>
      </c>
      <c r="I123" s="48" t="n">
        <f aca="false">H123+1.02/(TAN($A$4*(H123+10.3/(H123+5.11)))*60)</f>
        <v>32.7397471614353</v>
      </c>
      <c r="J123" s="39" t="n">
        <f aca="false">100*(1+COS($A$4*AQ123))/2</f>
        <v>65.0364355176837</v>
      </c>
      <c r="K123" s="48" t="n">
        <f aca="false">IF(AI123&gt;180,AT123-180,AT123+180)</f>
        <v>28.2102494248971</v>
      </c>
      <c r="L123" s="10" t="n">
        <f aca="false">L122+1/8</f>
        <v>2459868.625</v>
      </c>
      <c r="M123" s="49" t="n">
        <f aca="false">(L123-2451545)/36525</f>
        <v>0.227888432580424</v>
      </c>
      <c r="N123" s="15" t="n">
        <f aca="false">MOD(280.46061837+360.98564736629*(L123-2451545)+0.000387933*M123^2-M123^3/38710000+$G$4,360)</f>
        <v>69.6196977514774</v>
      </c>
      <c r="O123" s="18" t="n">
        <f aca="false">0.60643382+1336.85522467*M123 - 0.00000313*M123^2 - INT(0.60643382+1336.85522467*M123 - 0.00000313*M123^2)</f>
        <v>0.260275394446637</v>
      </c>
      <c r="P123" s="15" t="n">
        <f aca="false">22640*SIN(Q123)-4586*SIN(Q123-2*S123)+2370*SIN(2*S123)+769*SIN(2*Q123)-668*SIN(R123)-412*SIN(2*T123)-212*SIN(2*Q123-2*S123)-206*SIN(Q123+R123-2*S123)+192*SIN(Q123+2*S123)-165*SIN(R123-2*S123)-125*SIN(S123)-110*SIN(Q123+R123)+148*SIN(Q123-R123)-55*SIN(2*T123-2*S123)</f>
        <v>5907.55406639889</v>
      </c>
      <c r="Q123" s="18" t="n">
        <f aca="false">2*PI()*(0.374897+1325.55241*M123 - INT(0.374897+1325.55241*M123))</f>
        <v>2.84601916412041</v>
      </c>
      <c r="R123" s="26" t="n">
        <f aca="false">2*PI()*(0.99312619+99.99735956*M123 - 0.00000044*M123^2 - INT(0.99312619+99.99735956*M123- 0.00000044*M123^2))</f>
        <v>4.9094780487451</v>
      </c>
      <c r="S123" s="26" t="n">
        <f aca="false">2*PI()*(0.827361+1236.853086*M123 - INT(0.827361+1236.853086*M123))</f>
        <v>4.3471606181992</v>
      </c>
      <c r="T123" s="26" t="n">
        <f aca="false">2*PI()*(0.259086+1342.227825*M123 - INT(0.259086+1342.227825*M123))</f>
        <v>0.86256325072414</v>
      </c>
      <c r="U123" s="26" t="n">
        <f aca="false">T123+(P123+412*SIN(2*T123)+541*SIN(R123))/206264.8062</f>
        <v>0.890605507652368</v>
      </c>
      <c r="V123" s="26" t="n">
        <f aca="false">T123-2*S123</f>
        <v>-7.83175798567426</v>
      </c>
      <c r="W123" s="25" t="n">
        <f aca="false">-526*SIN(V123)+44*SIN(Q123+V123)-31*SIN(-Q123+V123)-23*SIN(R123+V123)+11*SIN(-R123+V123)-25*SIN(-2*Q123+T123)+21*SIN(-Q123+T123)</f>
        <v>497.812855787395</v>
      </c>
      <c r="X123" s="26" t="n">
        <f aca="false">2*PI()*(O123+P123/1296000-INT(O123+P123/1296000))</f>
        <v>1.66399916454033</v>
      </c>
      <c r="Y123" s="26" t="n">
        <f aca="false">(18520*SIN(U123)+W123)/206264.8062</f>
        <v>0.0722189959756715</v>
      </c>
      <c r="Z123" s="26" t="n">
        <f aca="false">Y123*180/PI()</f>
        <v>4.13784367007825</v>
      </c>
      <c r="AA123" s="26" t="n">
        <f aca="false">COS(Y123)*COS(X123)</f>
        <v>-0.0928253613767582</v>
      </c>
      <c r="AB123" s="26" t="n">
        <f aca="false">COS(Y123)*SIN(X123)</f>
        <v>0.993064413841799</v>
      </c>
      <c r="AC123" s="26" t="n">
        <f aca="false">SIN(Y123)</f>
        <v>0.072156234978816</v>
      </c>
      <c r="AD123" s="26" t="n">
        <f aca="false">COS($A$4*(23.4393-46.815*M123/3600))*AB123-SIN($A$4*(23.4393-46.815*M123/3600))*AC123</f>
        <v>0.882440467137403</v>
      </c>
      <c r="AE123" s="26" t="n">
        <f aca="false">SIN($A$4*(23.4393-46.815*M123/3600))*AB123+COS($A$4*(23.4393-46.815*M123/3600))*AC123</f>
        <v>0.461174884662636</v>
      </c>
      <c r="AF123" s="26" t="n">
        <f aca="false">SQRT(1-AE123*AE123)</f>
        <v>0.887309261619873</v>
      </c>
      <c r="AG123" s="10" t="n">
        <f aca="false">ATAN(AE123/AF123)/$A$4</f>
        <v>27.4629466805508</v>
      </c>
      <c r="AH123" s="26" t="n">
        <f aca="false">IF(24*ATAN(AD123/(AA123+AF123))/PI()&gt;0,24*ATAN(AD123/(AA123+AF123))/PI(),24*ATAN(AD123/(AA123+AF123))/PI()+24)</f>
        <v>6.40033021680262</v>
      </c>
      <c r="AI123" s="10" t="n">
        <f aca="false">IF(N123-15*AH123&gt;0,N123-15*AH123,360+N123-15*AH123)</f>
        <v>333.614744499438</v>
      </c>
      <c r="AJ123" s="18" t="n">
        <f aca="false">0.950724+0.051818*COS(Q123)+0.009531*COS(2*S123-Q123)+0.007843*COS(2*S123)+0.002824*COS(2*Q123)+0.000857*COS(2*S123+Q123)+0.000533*COS(2*S123-R123)+0.000401*COS(2*S123-R123-Q123)+0.00032*COS(Q123-R123)-0.000271*COS(S123)</f>
        <v>0.906499639351185</v>
      </c>
      <c r="AK123" s="50" t="n">
        <f aca="false">ASIN(COS($A$4*$G$2)*COS($A$4*AG123)*COS($A$4*AI123)+SIN($A$4*$G$2)*SIN($A$4*AG123))/$A$4</f>
        <v>33.4693460541345</v>
      </c>
      <c r="AL123" s="18" t="n">
        <f aca="false">ASIN((0.9983271+0.0016764*COS($A$4*2*$G$2))*COS($A$4*AK123)*SIN($A$4*AJ123))/$A$4</f>
        <v>0.755790733593461</v>
      </c>
      <c r="AM123" s="18" t="n">
        <f aca="false">AK123-AL123</f>
        <v>32.7135553205411</v>
      </c>
      <c r="AN123" s="10" t="n">
        <f aca="false"> IF(280.4664567 + 360007.6982779*M123/10 + 0.03032028*M123^2/100 + M123^3/49931000&lt;0,MOD(280.4664567 + 360007.6982779*M123/10 + 0.03032028*M123^2/100 + M123^3/49931000+360,360),MOD(280.4664567 + 360007.6982779*M123/10 + 0.03032028*M123^2/100 + M123^3/49931000,360))</f>
        <v>204.625480190207</v>
      </c>
      <c r="AO123" s="27" t="n">
        <f aca="false"> AN123 + (1.9146 - 0.004817*M123 - 0.000014*M123^2)*SIN(R123)+ (0.019993 - 0.000101*M123)*SIN(2*R123)+ 0.00029*SIN(3*R123)</f>
        <v>202.741593940652</v>
      </c>
      <c r="AP123" s="18" t="n">
        <f aca="false">ACOS(COS(X123-$A$4*AO123)*COS(Y123))/$A$4</f>
        <v>107.354662873335</v>
      </c>
      <c r="AQ123" s="25" t="n">
        <f aca="false">180 - AP123 -0.1468*(1-0.0549*SIN(R123))*SIN($A$4*AP123)/(1-0.0167*SIN($A$4*AO123))</f>
        <v>72.4986235958727</v>
      </c>
      <c r="AR123" s="25" t="n">
        <f aca="false">SIN($A$4*AI123)</f>
        <v>-0.444404661945038</v>
      </c>
      <c r="AS123" s="25" t="n">
        <f aca="false">COS($A$4*AI123)*SIN($A$4*$G$2) - TAN($A$4*AG123)*COS($A$4*$G$2)</f>
        <v>-0.828455303679528</v>
      </c>
      <c r="AT123" s="25" t="n">
        <f aca="false">IF(OR(AND(AR123*AS123&gt;0), AND(AR123&lt;0,AS123&gt;0)), MOD(ATAN2(AS123,AR123)/$A$4+360,360),  ATAN2(AS123,AR123)/$A$4)</f>
        <v>208.210249424897</v>
      </c>
      <c r="AU123" s="29" t="n">
        <f aca="false">(1+SIN($A$4*H123)*SIN($A$4*AJ123))*120*ASIN(0.272481*SIN($A$4*AJ123))/$A$4</f>
        <v>29.8927473945418</v>
      </c>
      <c r="AV123" s="10" t="n">
        <f aca="false">COS(X123)</f>
        <v>-0.0930679577559478</v>
      </c>
      <c r="AW123" s="10" t="n">
        <f aca="false">SIN(X123)</f>
        <v>0.995659758772613</v>
      </c>
      <c r="AX123" s="30" t="n">
        <f aca="false"> 385000.56 + (-20905355*COS(Q123) - 3699111*COS(2*S123-Q123) - 2955968*COS(2*S123) - 569925*COS(2*Q123) + (1-0.002516*M123)*48888*COS(R123) - 3149*COS(2*T123)  +246158*COS(2*S123-2*Q123) -(1-0.002516*M123)*152138*COS(2*S123-R123-Q123) -170733*COS(2*S123+Q123) -(1-0.002516*M123)*204586*COS(2*S123-R123) -(1-0.002516*M123)*129620*COS(R123-Q123)  + 108743*COS(S123) +(1-0.002516*M123)*104755*COS(R123+Q123) +10321*COS(2*S123-2*T123) +79661*COS(Q123-2*T123) -34782*COS(4*S123-Q123) -23210*COS(3*Q123)  -21636*COS(4*S123-2*Q123) +(1-0.002516*M123)*24208*COS(2*S123+R123-Q123) +(1-0.002516*M123)*30824*COS(2*S123+R123) -8379*COS(S123-Q123) -(1-0.002516*M123)*16675*COS(S123+R123)  -(1-0.002516*M123)*12831*COS(2*S123-R123+Q123) -10445*COS(2*S123+2*Q123) -11650*COS(4*S123) +14403*COS(2*S123-3*Q123) -(1-0.002516*M123)*7003*COS(R123-2*Q123)  + (1-0.002516*M123)*10056*COS(2*S123-R123-2*Q123) +6322*COS(S123+Q123) -(1-0.002516*M123)*(1-0.002516*M123)*9884*COS(2*S123-2*R123) +(1-0.002516*M123)*5751*COS(R123+2*Q123) -(1-0.002516*M123)*(1-0.002516*M123)*4950*COS(2*S123-2*R123-Q123)  +4130*COS(2*S123+Q123-2*T123) -(1-0.002516*M123)*3958*COS(4*S123-R123-Q123) +3258*COS(3*S123-Q123) +(1-0.002516*M123)*2616*COS(2*S123+R123+Q123) -(1-0.002516*M123)*1897*COS(4*S123-R123-2*Q123)  -(1-0.002516*M123)*(1-0.002516*M123)*2117*COS(2*R123-Q123) +(1-0.002516*M123)*(1-0.002516*M123)*2354*COS(2*S123+2*R123-Q123) -1423*COS(4*S123+Q123) -1117*COS(4*Q123) -(1-0.002516*M123)*1571*COS(4*S123-R123)  -1739*COS(S123-2*Q123) -4421*COS(2*Q123-2*T123) +(1-0.002516*M123)*(1-0.002516*M123)*1165*COS(2*R123+Q123) +8752*COS(2*S123-Q123-2*T123))/1000</f>
        <v>403223.091393111</v>
      </c>
      <c r="AY123" s="10" t="n">
        <f aca="false">AY122+1/8</f>
        <v>16.125</v>
      </c>
      <c r="AZ123" s="17" t="n">
        <f aca="false">AZ122+1</f>
        <v>122</v>
      </c>
      <c r="BA123" s="32" t="n">
        <f aca="false">ATAN(0.99664719*TAN($A$4*input!$E$2))</f>
        <v>-0.400219206115995</v>
      </c>
      <c r="BB123" s="32" t="n">
        <f aca="false">COS(BA123)</f>
        <v>0.920975608992155</v>
      </c>
      <c r="BC123" s="32" t="n">
        <f aca="false">0.99664719*SIN(BA123)</f>
        <v>-0.388313912533463</v>
      </c>
      <c r="BD123" s="32" t="n">
        <f aca="false">6378.14/AX123</f>
        <v>0.0158178937073369</v>
      </c>
      <c r="BE123" s="33" t="n">
        <f aca="false">MOD(N123-15*AH123,360)</f>
        <v>333.614744499438</v>
      </c>
      <c r="BF123" s="27" t="n">
        <f aca="false">COS($A$4*AG123)*SIN($A$4*BE123)</f>
        <v>-0.394324372450881</v>
      </c>
      <c r="BG123" s="27" t="n">
        <f aca="false">COS($A$4*AG123)*COS($A$4*BE123)-BB123*BD123</f>
        <v>0.780306948089279</v>
      </c>
      <c r="BH123" s="27" t="n">
        <f aca="false">SIN($A$4*AG123)-BC123*BD123</f>
        <v>0.467317192856171</v>
      </c>
      <c r="BI123" s="46" t="n">
        <f aca="false">SQRT(BF123^2+BG123^2+BH123^2)</f>
        <v>0.991340507940716</v>
      </c>
      <c r="BJ123" s="35" t="n">
        <f aca="false">AX123*BI123</f>
        <v>399731.384235072</v>
      </c>
    </row>
    <row r="124" customFormat="false" ht="15" hidden="false" customHeight="false" outlineLevel="0" collapsed="false">
      <c r="A124" s="20"/>
      <c r="B124" s="20"/>
      <c r="C124" s="15" t="n">
        <f aca="false">MOD(C123+3,24)</f>
        <v>6</v>
      </c>
      <c r="D124" s="17" t="n">
        <v>16</v>
      </c>
      <c r="E124" s="102" t="n">
        <f aca="false">input!$C$2</f>
        <v>10</v>
      </c>
      <c r="F124" s="102" t="n">
        <f aca="false">input!$D$2</f>
        <v>2022</v>
      </c>
      <c r="H124" s="39" t="n">
        <f aca="false">AM124</f>
        <v>36.1796996105662</v>
      </c>
      <c r="I124" s="48" t="n">
        <f aca="false">H124+1.02/(TAN($A$4*(H124+10.3/(H124+5.11)))*60)</f>
        <v>36.2027333003231</v>
      </c>
      <c r="J124" s="39" t="n">
        <f aca="false">100*(1+COS($A$4*AQ124))/2</f>
        <v>63.8984333435067</v>
      </c>
      <c r="K124" s="48" t="n">
        <f aca="false">IF(AI124&gt;180,AT124-180,AT124+180)</f>
        <v>341.002906896456</v>
      </c>
      <c r="L124" s="10" t="n">
        <f aca="false">L123+1/8</f>
        <v>2459868.75</v>
      </c>
      <c r="M124" s="49" t="n">
        <f aca="false">(L124-2451545)/36525</f>
        <v>0.227891854893908</v>
      </c>
      <c r="N124" s="15" t="n">
        <f aca="false">MOD(280.46061837+360.98564736629*(L124-2451545)+0.000387933*M124^2-M124^3/38710000+$G$4,360)</f>
        <v>114.74290367309</v>
      </c>
      <c r="O124" s="18" t="n">
        <f aca="false">0.60643382+1336.85522467*M124 - 0.00000313*M124^2 - INT(0.60643382+1336.85522467*M124 - 0.00000313*M124^2)</f>
        <v>0.264850532103253</v>
      </c>
      <c r="P124" s="15" t="n">
        <f aca="false">22640*SIN(Q124)-4586*SIN(Q124-2*S124)+2370*SIN(2*S124)+769*SIN(2*Q124)-668*SIN(R124)-412*SIN(2*T124)-212*SIN(2*Q124-2*S124)-206*SIN(Q124+R124-2*S124)+192*SIN(Q124+2*S124)-165*SIN(R124-2*S124)-125*SIN(S124)-110*SIN(Q124+R124)+148*SIN(Q124-R124)-55*SIN(2*T124-2*S124)</f>
        <v>5340.35281502365</v>
      </c>
      <c r="Q124" s="18" t="n">
        <f aca="false">2*PI()*(0.374897+1325.55241*M124 - INT(0.374897+1325.55241*M124))</f>
        <v>2.87452255709221</v>
      </c>
      <c r="R124" s="26" t="n">
        <f aca="false">2*PI()*(0.99312619+99.99735956*M124 - 0.00000044*M124^2 - INT(0.99312619+99.99735956*M124- 0.00000044*M124^2))</f>
        <v>4.91162829494321</v>
      </c>
      <c r="S124" s="26" t="n">
        <f aca="false">2*PI()*(0.827361+1236.853086*M124 - INT(0.827361+1236.853086*M124))</f>
        <v>4.37375670696412</v>
      </c>
      <c r="T124" s="26" t="n">
        <f aca="false">2*PI()*(0.259086+1342.227825*M124 - INT(0.259086+1342.227825*M124))</f>
        <v>0.891425215641543</v>
      </c>
      <c r="U124" s="26" t="n">
        <f aca="false">T124+(P124+412*SIN(2*T124)+541*SIN(R124))/206264.8062</f>
        <v>0.916697712469565</v>
      </c>
      <c r="V124" s="26" t="n">
        <f aca="false">T124-2*S124</f>
        <v>-7.8560881982867</v>
      </c>
      <c r="W124" s="25" t="n">
        <f aca="false">-526*SIN(V124)+44*SIN(Q124+V124)-31*SIN(-Q124+V124)-23*SIN(R124+V124)+11*SIN(-R124+V124)-25*SIN(-2*Q124+T124)+21*SIN(-Q124+T124)</f>
        <v>496.824072911301</v>
      </c>
      <c r="X124" s="26" t="n">
        <f aca="false">2*PI()*(O124+P124/1296000-INT(O124+P124/1296000))</f>
        <v>1.68999573297661</v>
      </c>
      <c r="Y124" s="26" t="n">
        <f aca="false">(18520*SIN(U124)+W124)/206264.8062</f>
        <v>0.0736637292234637</v>
      </c>
      <c r="Z124" s="26" t="n">
        <f aca="false">Y124*180/PI()</f>
        <v>4.22062078769898</v>
      </c>
      <c r="AA124" s="26" t="n">
        <f aca="false">COS(Y124)*COS(X124)</f>
        <v>-0.118594835187191</v>
      </c>
      <c r="AB124" s="26" t="n">
        <f aca="false">COS(Y124)*SIN(X124)</f>
        <v>0.99021145622468</v>
      </c>
      <c r="AC124" s="26" t="n">
        <f aca="false">SIN(Y124)</f>
        <v>0.0735971264950042</v>
      </c>
      <c r="AD124" s="26" t="n">
        <f aca="false">COS($A$4*(23.4393-46.815*M124/3600))*AB124-SIN($A$4*(23.4393-46.815*M124/3600))*AC124</f>
        <v>0.879249785984071</v>
      </c>
      <c r="AE124" s="26" t="n">
        <f aca="false">SIN($A$4*(23.4393-46.815*M124/3600))*AB124+COS($A$4*(23.4393-46.815*M124/3600))*AC124</f>
        <v>0.461362199268523</v>
      </c>
      <c r="AF124" s="26" t="n">
        <f aca="false">SQRT(1-AE124*AE124)</f>
        <v>0.88721188060469</v>
      </c>
      <c r="AG124" s="10" t="n">
        <f aca="false">ATAN(AE124/AF124)/$A$4</f>
        <v>27.4750427171246</v>
      </c>
      <c r="AH124" s="26" t="n">
        <f aca="false">IF(24*ATAN(AD124/(AA124+AF124))/PI()&gt;0,24*ATAN(AD124/(AA124+AF124))/PI(),24*ATAN(AD124/(AA124+AF124))/PI()+24)</f>
        <v>6.51211994476803</v>
      </c>
      <c r="AI124" s="10" t="n">
        <f aca="false">IF(N124-15*AH124&gt;0,N124-15*AH124,360+N124-15*AH124)</f>
        <v>17.0611045015697</v>
      </c>
      <c r="AJ124" s="18" t="n">
        <f aca="false">0.950724+0.051818*COS(Q124)+0.009531*COS(2*S124-Q124)+0.007843*COS(2*S124)+0.002824*COS(2*Q124)+0.000857*COS(2*S124+Q124)+0.000533*COS(2*S124-R124)+0.000401*COS(2*S124-R124-Q124)+0.00032*COS(Q124-R124)-0.000271*COS(S124)</f>
        <v>0.906070562715044</v>
      </c>
      <c r="AK124" s="50" t="n">
        <f aca="false">ASIN(COS($A$4*$G$2)*COS($A$4*AG124)*COS($A$4*AI124)+SIN($A$4*$G$2)*SIN($A$4*AG124))/$A$4</f>
        <v>36.9038545007489</v>
      </c>
      <c r="AL124" s="18" t="n">
        <f aca="false">ASIN((0.9983271+0.0016764*COS($A$4*2*$G$2))*COS($A$4*AK124)*SIN($A$4*AJ124))/$A$4</f>
        <v>0.724154890182635</v>
      </c>
      <c r="AM124" s="18" t="n">
        <f aca="false">AK124-AL124</f>
        <v>36.1796996105662</v>
      </c>
      <c r="AN124" s="10" t="n">
        <f aca="false"> IF(280.4664567 + 360007.6982779*M124/10 + 0.03032028*M124^2/100 + M124^3/49931000&lt;0,MOD(280.4664567 + 360007.6982779*M124/10 + 0.03032028*M124^2/100 + M124^3/49931000+360,360),MOD(280.4664567 + 360007.6982779*M124/10 + 0.03032028*M124^2/100 + M124^3/49931000,360))</f>
        <v>204.748686110692</v>
      </c>
      <c r="AO124" s="27" t="n">
        <f aca="false"> AN124 + (1.9146 - 0.004817*M124 - 0.000014*M124^2)*SIN(R124)+ (0.019993 - 0.000101*M124)*SIN(2*R124)+ 0.00029*SIN(3*R124)</f>
        <v>202.865529626516</v>
      </c>
      <c r="AP124" s="18" t="n">
        <f aca="false">ACOS(COS(X124-$A$4*AO124)*COS(Y124))/$A$4</f>
        <v>105.99125095355</v>
      </c>
      <c r="AQ124" s="25" t="n">
        <f aca="false">180 - AP124 -0.1468*(1-0.0549*SIN(R124))*SIN($A$4*AP124)/(1-0.0167*SIN($A$4*AO124))</f>
        <v>73.8609942598633</v>
      </c>
      <c r="AR124" s="25" t="n">
        <f aca="false">SIN($A$4*AI124)</f>
        <v>0.293391413128408</v>
      </c>
      <c r="AS124" s="25" t="n">
        <f aca="false">COS($A$4*AI124)*SIN($A$4*$G$2) - TAN($A$4*AG124)*COS($A$4*$G$2)</f>
        <v>-0.8522109875464</v>
      </c>
      <c r="AT124" s="25" t="n">
        <f aca="false">IF(OR(AND(AR124*AS124&gt;0), AND(AR124&lt;0,AS124&gt;0)), MOD(ATAN2(AS124,AR124)/$A$4+360,360),  ATAN2(AS124,AR124)/$A$4)</f>
        <v>161.002906896456</v>
      </c>
      <c r="AU124" s="29" t="n">
        <f aca="false">(1+SIN($A$4*H124)*SIN($A$4*AJ124))*120*ASIN(0.272481*SIN($A$4*AJ124))/$A$4</f>
        <v>29.9018469179863</v>
      </c>
      <c r="AV124" s="10" t="n">
        <f aca="false">COS(X124)</f>
        <v>-0.118917332552424</v>
      </c>
      <c r="AW124" s="10" t="n">
        <f aca="false">SIN(X124)</f>
        <v>0.992904158526197</v>
      </c>
      <c r="AX124" s="30" t="n">
        <f aca="false"> 385000.56 + (-20905355*COS(Q124) - 3699111*COS(2*S124-Q124) - 2955968*COS(2*S124) - 569925*COS(2*Q124) + (1-0.002516*M124)*48888*COS(R124) - 3149*COS(2*T124)  +246158*COS(2*S124-2*Q124) -(1-0.002516*M124)*152138*COS(2*S124-R124-Q124) -170733*COS(2*S124+Q124) -(1-0.002516*M124)*204586*COS(2*S124-R124) -(1-0.002516*M124)*129620*COS(R124-Q124)  + 108743*COS(S124) +(1-0.002516*M124)*104755*COS(R124+Q124) +10321*COS(2*S124-2*T124) +79661*COS(Q124-2*T124) -34782*COS(4*S124-Q124) -23210*COS(3*Q124)  -21636*COS(4*S124-2*Q124) +(1-0.002516*M124)*24208*COS(2*S124+R124-Q124) +(1-0.002516*M124)*30824*COS(2*S124+R124) -8379*COS(S124-Q124) -(1-0.002516*M124)*16675*COS(S124+R124)  -(1-0.002516*M124)*12831*COS(2*S124-R124+Q124) -10445*COS(2*S124+2*Q124) -11650*COS(4*S124) +14403*COS(2*S124-3*Q124) -(1-0.002516*M124)*7003*COS(R124-2*Q124)  + (1-0.002516*M124)*10056*COS(2*S124-R124-2*Q124) +6322*COS(S124+Q124) -(1-0.002516*M124)*(1-0.002516*M124)*9884*COS(2*S124-2*R124) +(1-0.002516*M124)*5751*COS(R124+2*Q124) -(1-0.002516*M124)*(1-0.002516*M124)*4950*COS(2*S124-2*R124-Q124)  +4130*COS(2*S124+Q124-2*T124) -(1-0.002516*M124)*3958*COS(4*S124-R124-Q124) +3258*COS(3*S124-Q124) +(1-0.002516*M124)*2616*COS(2*S124+R124+Q124) -(1-0.002516*M124)*1897*COS(4*S124-R124-2*Q124)  -(1-0.002516*M124)*(1-0.002516*M124)*2117*COS(2*R124-Q124) +(1-0.002516*M124)*(1-0.002516*M124)*2354*COS(2*S124+2*R124-Q124) -1423*COS(4*S124+Q124) -1117*COS(4*Q124) -(1-0.002516*M124)*1571*COS(4*S124-R124)  -1739*COS(S124-2*Q124) -4421*COS(2*Q124-2*T124) +(1-0.002516*M124)*(1-0.002516*M124)*1165*COS(2*R124+Q124) +8752*COS(2*S124-Q124-2*T124))/1000</f>
        <v>403421.879252185</v>
      </c>
      <c r="AY124" s="10" t="n">
        <f aca="false">AY123+1/8</f>
        <v>16.25</v>
      </c>
      <c r="AZ124" s="17" t="n">
        <f aca="false">AZ123+1</f>
        <v>123</v>
      </c>
      <c r="BA124" s="32" t="n">
        <f aca="false">ATAN(0.99664719*TAN($A$4*input!$E$2))</f>
        <v>-0.400219206115995</v>
      </c>
      <c r="BB124" s="32" t="n">
        <f aca="false">COS(BA124)</f>
        <v>0.920975608992155</v>
      </c>
      <c r="BC124" s="32" t="n">
        <f aca="false">0.99664719*SIN(BA124)</f>
        <v>-0.388313912533463</v>
      </c>
      <c r="BD124" s="32" t="n">
        <f aca="false">6378.14/AX124</f>
        <v>0.015810099372456</v>
      </c>
      <c r="BE124" s="33" t="n">
        <f aca="false">MOD(N124-15*AH124,360)</f>
        <v>17.0611045015697</v>
      </c>
      <c r="BF124" s="27" t="n">
        <f aca="false">COS($A$4*AG124)*SIN($A$4*BE124)</f>
        <v>0.260300347394923</v>
      </c>
      <c r="BG124" s="27" t="n">
        <f aca="false">COS($A$4*AG124)*COS($A$4*BE124)-BB124*BD124</f>
        <v>0.833607103718246</v>
      </c>
      <c r="BH124" s="27" t="n">
        <f aca="false">SIN($A$4*AG124)-BC124*BD124</f>
        <v>0.467501480813385</v>
      </c>
      <c r="BI124" s="46" t="n">
        <f aca="false">SQRT(BF124^2+BG124^2+BH124^2)</f>
        <v>0.990562824250006</v>
      </c>
      <c r="BJ124" s="35" t="n">
        <f aca="false">AX124*BI124</f>
        <v>399614.716076289</v>
      </c>
    </row>
    <row r="125" customFormat="false" ht="15" hidden="false" customHeight="false" outlineLevel="0" collapsed="false">
      <c r="A125" s="20"/>
      <c r="B125" s="20"/>
      <c r="C125" s="15" t="n">
        <f aca="false">MOD(C124+3,24)</f>
        <v>9</v>
      </c>
      <c r="D125" s="17" t="n">
        <v>16</v>
      </c>
      <c r="E125" s="102" t="n">
        <f aca="false">input!$C$2</f>
        <v>10</v>
      </c>
      <c r="F125" s="102" t="n">
        <f aca="false">input!$D$2</f>
        <v>2022</v>
      </c>
      <c r="H125" s="39" t="n">
        <f aca="false">AM125</f>
        <v>11.9351085121517</v>
      </c>
      <c r="I125" s="48" t="n">
        <f aca="false">H125+1.02/(TAN($A$4*(H125+10.3/(H125+5.11)))*60)</f>
        <v>12.0115418622708</v>
      </c>
      <c r="J125" s="39" t="n">
        <f aca="false">100*(1+COS($A$4*AQ125))/2</f>
        <v>62.7536808864009</v>
      </c>
      <c r="K125" s="48" t="n">
        <f aca="false">IF(AI125&gt;180,AT125-180,AT125+180)</f>
        <v>307.622320479292</v>
      </c>
      <c r="L125" s="10" t="n">
        <f aca="false">L124+1/8</f>
        <v>2459868.875</v>
      </c>
      <c r="M125" s="49" t="n">
        <f aca="false">(L125-2451545)/36525</f>
        <v>0.227895277207392</v>
      </c>
      <c r="N125" s="15" t="n">
        <f aca="false">MOD(280.46061837+360.98564736629*(L125-2451545)+0.000387933*M125^2-M125^3/38710000+$G$4,360)</f>
        <v>159.866109594703</v>
      </c>
      <c r="O125" s="18" t="n">
        <f aca="false">0.60643382+1336.85522467*M125 - 0.00000313*M125^2 - INT(0.60643382+1336.85522467*M125 - 0.00000313*M125^2)</f>
        <v>0.269425669759755</v>
      </c>
      <c r="P125" s="15" t="n">
        <f aca="false">22640*SIN(Q125)-4586*SIN(Q125-2*S125)+2370*SIN(2*S125)+769*SIN(2*Q125)-668*SIN(R125)-412*SIN(2*T125)-212*SIN(2*Q125-2*S125)-206*SIN(Q125+R125-2*S125)+192*SIN(Q125+2*S125)-165*SIN(R125-2*S125)-125*SIN(S125)-110*SIN(Q125+R125)+148*SIN(Q125-R125)-55*SIN(2*T125-2*S125)</f>
        <v>4769.15881458481</v>
      </c>
      <c r="Q125" s="18" t="n">
        <f aca="false">2*PI()*(0.374897+1325.55241*M125 - INT(0.374897+1325.55241*M125))</f>
        <v>2.90302595006436</v>
      </c>
      <c r="R125" s="26" t="n">
        <f aca="false">2*PI()*(0.99312619+99.99735956*M125 - 0.00000044*M125^2 - INT(0.99312619+99.99735956*M125- 0.00000044*M125^2))</f>
        <v>4.91377854114129</v>
      </c>
      <c r="S125" s="26" t="n">
        <f aca="false">2*PI()*(0.827361+1236.853086*M125 - INT(0.827361+1236.853086*M125))</f>
        <v>4.40035279572904</v>
      </c>
      <c r="T125" s="26" t="n">
        <f aca="false">2*PI()*(0.259086+1342.227825*M125 - INT(0.259086+1342.227825*M125))</f>
        <v>0.920287180559302</v>
      </c>
      <c r="U125" s="26" t="n">
        <f aca="false">T125+(P125+412*SIN(2*T125)+541*SIN(R125))/206264.8062</f>
        <v>0.942764067118097</v>
      </c>
      <c r="V125" s="26" t="n">
        <f aca="false">T125-2*S125</f>
        <v>-7.88041841089879</v>
      </c>
      <c r="W125" s="25" t="n">
        <f aca="false">-526*SIN(V125)+44*SIN(Q125+V125)-31*SIN(-Q125+V125)-23*SIN(R125+V125)+11*SIN(-R125+V125)-25*SIN(-2*Q125+T125)+21*SIN(-Q125+T125)</f>
        <v>495.625613116978</v>
      </c>
      <c r="X125" s="26" t="n">
        <f aca="false">2*PI()*(O125+P125/1296000-INT(O125+P125/1296000))</f>
        <v>1.71597294401846</v>
      </c>
      <c r="Y125" s="26" t="n">
        <f aca="false">(18520*SIN(U125)+W125)/206264.8062</f>
        <v>0.0750575743122515</v>
      </c>
      <c r="Z125" s="26" t="n">
        <f aca="false">Y125*180/PI()</f>
        <v>4.30048222858155</v>
      </c>
      <c r="AA125" s="26" t="n">
        <f aca="false">COS(Y125)*COS(X125)</f>
        <v>-0.144259881116841</v>
      </c>
      <c r="AB125" s="26" t="n">
        <f aca="false">COS(Y125)*SIN(X125)</f>
        <v>0.986694491011739</v>
      </c>
      <c r="AC125" s="26" t="n">
        <f aca="false">SIN(Y125)</f>
        <v>0.0749871196089098</v>
      </c>
      <c r="AD125" s="26" t="n">
        <f aca="false">COS($A$4*(23.4393-46.815*M125/3600))*AB125-SIN($A$4*(23.4393-46.815*M125/3600))*AC125</f>
        <v>0.875470119966242</v>
      </c>
      <c r="AE125" s="26" t="n">
        <f aca="false">SIN($A$4*(23.4393-46.815*M125/3600))*AB125+COS($A$4*(23.4393-46.815*M125/3600))*AC125</f>
        <v>0.461238718828385</v>
      </c>
      <c r="AF125" s="26" t="n">
        <f aca="false">SQRT(1-AE125*AE125)</f>
        <v>0.887276081190939</v>
      </c>
      <c r="AG125" s="10" t="n">
        <f aca="false">ATAN(AE125/AF125)/$A$4</f>
        <v>27.4670686894465</v>
      </c>
      <c r="AH125" s="26" t="n">
        <f aca="false">IF(24*ATAN(AD125/(AA125+AF125))/PI()&gt;0,24*ATAN(AD125/(AA125+AF125))/PI(),24*ATAN(AD125/(AA125+AF125))/PI()+24)</f>
        <v>6.62380721583332</v>
      </c>
      <c r="AI125" s="10" t="n">
        <f aca="false">IF(N125-15*AH125&gt;0,N125-15*AH125,360+N125-15*AH125)</f>
        <v>60.509001357203</v>
      </c>
      <c r="AJ125" s="18" t="n">
        <f aca="false">0.950724+0.051818*COS(Q125)+0.009531*COS(2*S125-Q125)+0.007843*COS(2*S125)+0.002824*COS(2*Q125)+0.000857*COS(2*S125+Q125)+0.000533*COS(2*S125-R125)+0.000401*COS(2*S125-R125-Q125)+0.00032*COS(Q125-R125)-0.000271*COS(S125)</f>
        <v>0.905683790091107</v>
      </c>
      <c r="AK125" s="50" t="n">
        <f aca="false">ASIN(COS($A$4*$G$2)*COS($A$4*AG125)*COS($A$4*AI125)+SIN($A$4*$G$2)*SIN($A$4*AG125))/$A$4</f>
        <v>12.817772394879</v>
      </c>
      <c r="AL125" s="18" t="n">
        <f aca="false">ASIN((0.9983271+0.0016764*COS($A$4*2*$G$2))*COS($A$4*AK125)*SIN($A$4*AJ125))/$A$4</f>
        <v>0.882663882727327</v>
      </c>
      <c r="AM125" s="18" t="n">
        <f aca="false">AK125-AL125</f>
        <v>11.9351085121517</v>
      </c>
      <c r="AN125" s="10" t="n">
        <f aca="false"> IF(280.4664567 + 360007.6982779*M125/10 + 0.03032028*M125^2/100 + M125^3/49931000&lt;0,MOD(280.4664567 + 360007.6982779*M125/10 + 0.03032028*M125^2/100 + M125^3/49931000+360,360),MOD(280.4664567 + 360007.6982779*M125/10 + 0.03032028*M125^2/100 + M125^3/49931000,360))</f>
        <v>204.871892031179</v>
      </c>
      <c r="AO125" s="27" t="n">
        <f aca="false"> AN125 + (1.9146 - 0.004817*M125 - 0.000014*M125^2)*SIN(R125)+ (0.019993 - 0.000101*M125)*SIN(2*R125)+ 0.00029*SIN(3*R125)</f>
        <v>202.989474117865</v>
      </c>
      <c r="AP125" s="18" t="n">
        <f aca="false">ACOS(COS(X125-$A$4*AO125)*COS(Y125))/$A$4</f>
        <v>104.629236097331</v>
      </c>
      <c r="AQ125" s="25" t="n">
        <f aca="false">180 - AP125 -0.1468*(1-0.0549*SIN(R125))*SIN($A$4*AP125)/(1-0.0167*SIN($A$4*AO125))</f>
        <v>75.2220526106199</v>
      </c>
      <c r="AR125" s="25" t="n">
        <f aca="false">SIN($A$4*AI125)</f>
        <v>0.870433046575066</v>
      </c>
      <c r="AS125" s="25" t="n">
        <f aca="false">COS($A$4*AI125)*SIN($A$4*$G$2) - TAN($A$4*AG125)*COS($A$4*$G$2)</f>
        <v>-0.670864040011304</v>
      </c>
      <c r="AT125" s="25" t="n">
        <f aca="false">IF(OR(AND(AR125*AS125&gt;0), AND(AR125&lt;0,AS125&gt;0)), MOD(ATAN2(AS125,AR125)/$A$4+360,360),  ATAN2(AS125,AR125)/$A$4)</f>
        <v>127.622320479292</v>
      </c>
      <c r="AU125" s="29" t="n">
        <f aca="false">(1+SIN($A$4*H125)*SIN($A$4*AJ125))*120*ASIN(0.272481*SIN($A$4*AJ125))/$A$4</f>
        <v>29.7094524546254</v>
      </c>
      <c r="AV125" s="10" t="n">
        <f aca="false">COS(X125)</f>
        <v>-0.144667191241792</v>
      </c>
      <c r="AW125" s="10" t="n">
        <f aca="false">SIN(X125)</f>
        <v>0.989480370587619</v>
      </c>
      <c r="AX125" s="30" t="n">
        <f aca="false"> 385000.56 + (-20905355*COS(Q125) - 3699111*COS(2*S125-Q125) - 2955968*COS(2*S125) - 569925*COS(2*Q125) + (1-0.002516*M125)*48888*COS(R125) - 3149*COS(2*T125)  +246158*COS(2*S125-2*Q125) -(1-0.002516*M125)*152138*COS(2*S125-R125-Q125) -170733*COS(2*S125+Q125) -(1-0.002516*M125)*204586*COS(2*S125-R125) -(1-0.002516*M125)*129620*COS(R125-Q125)  + 108743*COS(S125) +(1-0.002516*M125)*104755*COS(R125+Q125) +10321*COS(2*S125-2*T125) +79661*COS(Q125-2*T125) -34782*COS(4*S125-Q125) -23210*COS(3*Q125)  -21636*COS(4*S125-2*Q125) +(1-0.002516*M125)*24208*COS(2*S125+R125-Q125) +(1-0.002516*M125)*30824*COS(2*S125+R125) -8379*COS(S125-Q125) -(1-0.002516*M125)*16675*COS(S125+R125)  -(1-0.002516*M125)*12831*COS(2*S125-R125+Q125) -10445*COS(2*S125+2*Q125) -11650*COS(4*S125) +14403*COS(2*S125-3*Q125) -(1-0.002516*M125)*7003*COS(R125-2*Q125)  + (1-0.002516*M125)*10056*COS(2*S125-R125-2*Q125) +6322*COS(S125+Q125) -(1-0.002516*M125)*(1-0.002516*M125)*9884*COS(2*S125-2*R125) +(1-0.002516*M125)*5751*COS(R125+2*Q125) -(1-0.002516*M125)*(1-0.002516*M125)*4950*COS(2*S125-2*R125-Q125)  +4130*COS(2*S125+Q125-2*T125) -(1-0.002516*M125)*3958*COS(4*S125-R125-Q125) +3258*COS(3*S125-Q125) +(1-0.002516*M125)*2616*COS(2*S125+R125+Q125) -(1-0.002516*M125)*1897*COS(4*S125-R125-2*Q125)  -(1-0.002516*M125)*(1-0.002516*M125)*2117*COS(2*R125-Q125) +(1-0.002516*M125)*(1-0.002516*M125)*2354*COS(2*S125+2*R125-Q125) -1423*COS(4*S125+Q125) -1117*COS(4*Q125) -(1-0.002516*M125)*1571*COS(4*S125-R125)  -1739*COS(S125-2*Q125) -4421*COS(2*Q125-2*T125) +(1-0.002516*M125)*(1-0.002516*M125)*1165*COS(2*R125+Q125) +8752*COS(2*S125-Q125-2*T125))/1000</f>
        <v>403601.545955396</v>
      </c>
      <c r="AY125" s="10" t="n">
        <f aca="false">AY124+1/8</f>
        <v>16.375</v>
      </c>
      <c r="AZ125" s="17" t="n">
        <f aca="false">AZ124+1</f>
        <v>124</v>
      </c>
      <c r="BA125" s="32" t="n">
        <f aca="false">ATAN(0.99664719*TAN($A$4*input!$E$2))</f>
        <v>-0.400219206115995</v>
      </c>
      <c r="BB125" s="32" t="n">
        <f aca="false">COS(BA125)</f>
        <v>0.920975608992155</v>
      </c>
      <c r="BC125" s="32" t="n">
        <f aca="false">0.99664719*SIN(BA125)</f>
        <v>-0.388313912533463</v>
      </c>
      <c r="BD125" s="32" t="n">
        <f aca="false">6378.14/AX125</f>
        <v>0.0158030613705946</v>
      </c>
      <c r="BE125" s="33" t="n">
        <f aca="false">MOD(N125-15*AH125,360)</f>
        <v>60.509001357203</v>
      </c>
      <c r="BF125" s="27" t="n">
        <f aca="false">COS($A$4*AG125)*SIN($A$4*BE125)</f>
        <v>0.772314422504215</v>
      </c>
      <c r="BG125" s="27" t="n">
        <f aca="false">COS($A$4*AG125)*COS($A$4*BE125)-BB125*BD125</f>
        <v>0.422240084855708</v>
      </c>
      <c r="BH125" s="27" t="n">
        <f aca="false">SIN($A$4*AG125)-BC125*BD125</f>
        <v>0.467375267419207</v>
      </c>
      <c r="BI125" s="46" t="n">
        <f aca="false">SQRT(BF125^2+BG125^2+BH125^2)</f>
        <v>0.996592141782258</v>
      </c>
      <c r="BJ125" s="35" t="n">
        <f aca="false">AX125*BI125</f>
        <v>402226.129110319</v>
      </c>
    </row>
    <row r="126" customFormat="false" ht="15" hidden="false" customHeight="false" outlineLevel="0" collapsed="false">
      <c r="A126" s="20"/>
      <c r="B126" s="20"/>
      <c r="C126" s="15" t="n">
        <f aca="false">MOD(C125+3,24)</f>
        <v>12</v>
      </c>
      <c r="D126" s="17" t="n">
        <v>16</v>
      </c>
      <c r="E126" s="102" t="n">
        <f aca="false">input!$C$2</f>
        <v>10</v>
      </c>
      <c r="F126" s="102" t="n">
        <f aca="false">input!$D$2</f>
        <v>2022</v>
      </c>
      <c r="H126" s="39" t="n">
        <f aca="false">AM126</f>
        <v>-22.9934526343083</v>
      </c>
      <c r="I126" s="48" t="n">
        <f aca="false">H126+1.02/(TAN($A$4*(H126+10.3/(H126+5.11)))*60)</f>
        <v>-23.0324208048207</v>
      </c>
      <c r="J126" s="39" t="n">
        <f aca="false">100*(1+COS($A$4*AQ126))/2</f>
        <v>61.6027159548135</v>
      </c>
      <c r="K126" s="48" t="n">
        <f aca="false">IF(AI126&gt;180,AT126-180,AT126+180)</f>
        <v>291.57198717153</v>
      </c>
      <c r="L126" s="10" t="n">
        <f aca="false">L125+1/8</f>
        <v>2459869</v>
      </c>
      <c r="M126" s="49" t="n">
        <f aca="false">(L126-2451545)/36525</f>
        <v>0.227898699520876</v>
      </c>
      <c r="N126" s="15" t="n">
        <f aca="false">MOD(280.46061837+360.98564736629*(L126-2451545)+0.000387933*M126^2-M126^3/38710000+$G$4,360)</f>
        <v>204.98931551585</v>
      </c>
      <c r="O126" s="18" t="n">
        <f aca="false">0.60643382+1336.85522467*M126 - 0.00000313*M126^2 - INT(0.60643382+1336.85522467*M126 - 0.00000313*M126^2)</f>
        <v>0.274000807416314</v>
      </c>
      <c r="P126" s="15" t="n">
        <f aca="false">22640*SIN(Q126)-4586*SIN(Q126-2*S126)+2370*SIN(2*S126)+769*SIN(2*Q126)-668*SIN(R126)-412*SIN(2*T126)-212*SIN(2*Q126-2*S126)-206*SIN(Q126+R126-2*S126)+192*SIN(Q126+2*S126)-165*SIN(R126-2*S126)-125*SIN(S126)-110*SIN(Q126+R126)+148*SIN(Q126-R126)-55*SIN(2*T126-2*S126)</f>
        <v>4194.50726190241</v>
      </c>
      <c r="Q126" s="18" t="n">
        <f aca="false">2*PI()*(0.374897+1325.55241*M126 - INT(0.374897+1325.55241*M126))</f>
        <v>2.93152934303616</v>
      </c>
      <c r="R126" s="26" t="n">
        <f aca="false">2*PI()*(0.99312619+99.99735956*M126 - 0.00000044*M126^2 - INT(0.99312619+99.99735956*M126- 0.00000044*M126^2))</f>
        <v>4.91592878733939</v>
      </c>
      <c r="S126" s="26" t="n">
        <f aca="false">2*PI()*(0.827361+1236.853086*M126 - INT(0.827361+1236.853086*M126))</f>
        <v>4.42694888449397</v>
      </c>
      <c r="T126" s="26" t="n">
        <f aca="false">2*PI()*(0.259086+1342.227825*M126 - INT(0.259086+1342.227825*M126))</f>
        <v>0.949149145476704</v>
      </c>
      <c r="U126" s="26" t="n">
        <f aca="false">T126+(P126+412*SIN(2*T126)+541*SIN(R126))/206264.8062</f>
        <v>0.968807257924756</v>
      </c>
      <c r="V126" s="26" t="n">
        <f aca="false">T126-2*S126</f>
        <v>-7.90474862351123</v>
      </c>
      <c r="W126" s="25" t="n">
        <f aca="false">-526*SIN(V126)+44*SIN(Q126+V126)-31*SIN(-Q126+V126)-23*SIN(R126+V126)+11*SIN(-R126+V126)-25*SIN(-2*Q126+T126)+21*SIN(-Q126+T126)</f>
        <v>494.21902134083</v>
      </c>
      <c r="X126" s="26" t="n">
        <f aca="false">2*PI()*(O126+P126/1296000-INT(O126+P126/1296000))</f>
        <v>1.74193339237437</v>
      </c>
      <c r="Y126" s="26" t="n">
        <f aca="false">(18520*SIN(U126)+W126)/206264.8062</f>
        <v>0.0763998697979593</v>
      </c>
      <c r="Z126" s="26" t="n">
        <f aca="false">Y126*180/PI()</f>
        <v>4.37739009477207</v>
      </c>
      <c r="AA126" s="26" t="n">
        <f aca="false">COS(Y126)*COS(X126)</f>
        <v>-0.169806131727089</v>
      </c>
      <c r="AB126" s="26" t="n">
        <f aca="false">COS(Y126)*SIN(X126)</f>
        <v>0.982517320616433</v>
      </c>
      <c r="AC126" s="26" t="n">
        <f aca="false">SIN(Y126)</f>
        <v>0.0763255679087165</v>
      </c>
      <c r="AD126" s="26" t="n">
        <f aca="false">COS($A$4*(23.4393-46.815*M126/3600))*AB126-SIN($A$4*(23.4393-46.815*M126/3600))*AC126</f>
        <v>0.871105214904595</v>
      </c>
      <c r="AE126" s="26" t="n">
        <f aca="false">SIN($A$4*(23.4393-46.815*M126/3600))*AB126+COS($A$4*(23.4393-46.815*M126/3600))*AC126</f>
        <v>0.460805362592387</v>
      </c>
      <c r="AF126" s="26" t="n">
        <f aca="false">SQRT(1-AE126*AE126)</f>
        <v>0.88750122129837</v>
      </c>
      <c r="AG126" s="10" t="n">
        <f aca="false">ATAN(AE126/AF126)/$A$4</f>
        <v>27.4390882968417</v>
      </c>
      <c r="AH126" s="26" t="n">
        <f aca="false">IF(24*ATAN(AD126/(AA126+AF126))/PI()&gt;0,24*ATAN(AD126/(AA126+AF126))/PI(),24*ATAN(AD126/(AA126+AF126))/PI()+24)</f>
        <v>6.73536307056838</v>
      </c>
      <c r="AI126" s="10" t="n">
        <f aca="false">IF(N126-15*AH126&gt;0,N126-15*AH126,360+N126-15*AH126)</f>
        <v>103.958869457324</v>
      </c>
      <c r="AJ126" s="18" t="n">
        <f aca="false">0.950724+0.051818*COS(Q126)+0.009531*COS(2*S126-Q126)+0.007843*COS(2*S126)+0.002824*COS(2*Q126)+0.000857*COS(2*S126+Q126)+0.000533*COS(2*S126-R126)+0.000401*COS(2*S126-R126-Q126)+0.00032*COS(Q126-R126)-0.000271*COS(S126)</f>
        <v>0.905339617376269</v>
      </c>
      <c r="AK126" s="50" t="n">
        <f aca="false">ASIN(COS($A$4*$G$2)*COS($A$4*AG126)*COS($A$4*AI126)+SIN($A$4*$G$2)*SIN($A$4*AG126))/$A$4</f>
        <v>-22.1553904937667</v>
      </c>
      <c r="AL126" s="18" t="n">
        <f aca="false">ASIN((0.9983271+0.0016764*COS($A$4*2*$G$2))*COS($A$4*AK126)*SIN($A$4*AJ126))/$A$4</f>
        <v>0.838062140541592</v>
      </c>
      <c r="AM126" s="18" t="n">
        <f aca="false">AK126-AL126</f>
        <v>-22.9934526343083</v>
      </c>
      <c r="AN126" s="10" t="n">
        <f aca="false"> IF(280.4664567 + 360007.6982779*M126/10 + 0.03032028*M126^2/100 + M126^3/49931000&lt;0,MOD(280.4664567 + 360007.6982779*M126/10 + 0.03032028*M126^2/100 + M126^3/49931000+360,360),MOD(280.4664567 + 360007.6982779*M126/10 + 0.03032028*M126^2/100 + M126^3/49931000,360))</f>
        <v>204.995097951663</v>
      </c>
      <c r="AO126" s="27" t="n">
        <f aca="false"> AN126 + (1.9146 - 0.004817*M126 - 0.000014*M126^2)*SIN(R126)+ (0.019993 - 0.000101*M126)*SIN(2*R126)+ 0.00029*SIN(3*R126)</f>
        <v>203.113427412416</v>
      </c>
      <c r="AP126" s="18" t="n">
        <f aca="false">ACOS(COS(X126-$A$4*AO126)*COS(Y126))/$A$4</f>
        <v>103.268465462374</v>
      </c>
      <c r="AQ126" s="25" t="n">
        <f aca="false">180 - AP126 -0.1468*(1-0.0549*SIN(R126))*SIN($A$4*AP126)/(1-0.0167*SIN($A$4*AO126))</f>
        <v>76.5819516702286</v>
      </c>
      <c r="AR126" s="25" t="n">
        <f aca="false">SIN($A$4*AI126)</f>
        <v>0.97046914312366</v>
      </c>
      <c r="AS126" s="25" t="n">
        <f aca="false">COS($A$4*AI126)*SIN($A$4*$G$2) - TAN($A$4*AG126)*COS($A$4*$G$2)</f>
        <v>-0.383687164951209</v>
      </c>
      <c r="AT126" s="25" t="n">
        <f aca="false">IF(OR(AND(AR126*AS126&gt;0), AND(AR126&lt;0,AS126&gt;0)), MOD(ATAN2(AS126,AR126)/$A$4+360,360),  ATAN2(AS126,AR126)/$A$4)</f>
        <v>111.57198717153</v>
      </c>
      <c r="AU126" s="29" t="n">
        <f aca="false">(1+SIN($A$4*H126)*SIN($A$4*AJ126))*120*ASIN(0.272481*SIN($A$4*AJ126))/$A$4</f>
        <v>29.4186985723097</v>
      </c>
      <c r="AV126" s="10" t="n">
        <f aca="false">COS(X126)</f>
        <v>-0.170302913970156</v>
      </c>
      <c r="AW126" s="10" t="n">
        <f aca="false">SIN(X126)</f>
        <v>0.985391758385097</v>
      </c>
      <c r="AX126" s="30" t="n">
        <f aca="false"> 385000.56 + (-20905355*COS(Q126) - 3699111*COS(2*S126-Q126) - 2955968*COS(2*S126) - 569925*COS(2*Q126) + (1-0.002516*M126)*48888*COS(R126) - 3149*COS(2*T126)  +246158*COS(2*S126-2*Q126) -(1-0.002516*M126)*152138*COS(2*S126-R126-Q126) -170733*COS(2*S126+Q126) -(1-0.002516*M126)*204586*COS(2*S126-R126) -(1-0.002516*M126)*129620*COS(R126-Q126)  + 108743*COS(S126) +(1-0.002516*M126)*104755*COS(R126+Q126) +10321*COS(2*S126-2*T126) +79661*COS(Q126-2*T126) -34782*COS(4*S126-Q126) -23210*COS(3*Q126)  -21636*COS(4*S126-2*Q126) +(1-0.002516*M126)*24208*COS(2*S126+R126-Q126) +(1-0.002516*M126)*30824*COS(2*S126+R126) -8379*COS(S126-Q126) -(1-0.002516*M126)*16675*COS(S126+R126)  -(1-0.002516*M126)*12831*COS(2*S126-R126+Q126) -10445*COS(2*S126+2*Q126) -11650*COS(4*S126) +14403*COS(2*S126-3*Q126) -(1-0.002516*M126)*7003*COS(R126-2*Q126)  + (1-0.002516*M126)*10056*COS(2*S126-R126-2*Q126) +6322*COS(S126+Q126) -(1-0.002516*M126)*(1-0.002516*M126)*9884*COS(2*S126-2*R126) +(1-0.002516*M126)*5751*COS(R126+2*Q126) -(1-0.002516*M126)*(1-0.002516*M126)*4950*COS(2*S126-2*R126-Q126)  +4130*COS(2*S126+Q126-2*T126) -(1-0.002516*M126)*3958*COS(4*S126-R126-Q126) +3258*COS(3*S126-Q126) +(1-0.002516*M126)*2616*COS(2*S126+R126+Q126) -(1-0.002516*M126)*1897*COS(4*S126-R126-2*Q126)  -(1-0.002516*M126)*(1-0.002516*M126)*2117*COS(2*R126-Q126) +(1-0.002516*M126)*(1-0.002516*M126)*2354*COS(2*S126+2*R126-Q126) -1423*COS(4*S126+Q126) -1117*COS(4*Q126) -(1-0.002516*M126)*1571*COS(4*S126-R126)  -1739*COS(S126-2*Q126) -4421*COS(2*Q126-2*T126) +(1-0.002516*M126)*(1-0.002516*M126)*1165*COS(2*R126+Q126) +8752*COS(2*S126-Q126-2*T126))/1000</f>
        <v>403761.840533873</v>
      </c>
      <c r="AY126" s="10" t="n">
        <f aca="false">AY125+1/8</f>
        <v>16.5</v>
      </c>
      <c r="AZ126" s="17" t="n">
        <f aca="false">AZ125+1</f>
        <v>125</v>
      </c>
      <c r="BA126" s="32" t="n">
        <f aca="false">ATAN(0.99664719*TAN($A$4*input!$E$2))</f>
        <v>-0.400219206115995</v>
      </c>
      <c r="BB126" s="32" t="n">
        <f aca="false">COS(BA126)</f>
        <v>0.920975608992155</v>
      </c>
      <c r="BC126" s="32" t="n">
        <f aca="false">0.99664719*SIN(BA126)</f>
        <v>-0.388313912533463</v>
      </c>
      <c r="BD126" s="32" t="n">
        <f aca="false">6378.14/AX126</f>
        <v>0.0157967875110895</v>
      </c>
      <c r="BE126" s="33" t="n">
        <f aca="false">MOD(N126-15*AH126,360)</f>
        <v>103.958869457324</v>
      </c>
      <c r="BF126" s="27" t="n">
        <f aca="false">COS($A$4*AG126)*SIN($A$4*BE126)</f>
        <v>0.861292549754631</v>
      </c>
      <c r="BG126" s="27" t="n">
        <f aca="false">COS($A$4*AG126)*COS($A$4*BE126)-BB126*BD126</f>
        <v>-0.228636198625472</v>
      </c>
      <c r="BH126" s="27" t="n">
        <f aca="false">SIN($A$4*AG126)-BC126*BD126</f>
        <v>0.466939474956278</v>
      </c>
      <c r="BI126" s="46" t="n">
        <f aca="false">SQRT(BF126^2+BG126^2+BH126^2)</f>
        <v>1.00604763349316</v>
      </c>
      <c r="BJ126" s="35" t="n">
        <f aca="false">AX126*BI126</f>
        <v>406203.644163945</v>
      </c>
    </row>
    <row r="127" customFormat="false" ht="15" hidden="false" customHeight="false" outlineLevel="0" collapsed="false">
      <c r="A127" s="20"/>
      <c r="B127" s="20"/>
      <c r="C127" s="15" t="n">
        <f aca="false">MOD(C126+3,24)</f>
        <v>15</v>
      </c>
      <c r="D127" s="17" t="n">
        <v>16</v>
      </c>
      <c r="E127" s="102" t="n">
        <f aca="false">input!$C$2</f>
        <v>10</v>
      </c>
      <c r="F127" s="102" t="n">
        <f aca="false">input!$D$2</f>
        <v>2022</v>
      </c>
      <c r="H127" s="39" t="n">
        <f aca="false">AM127</f>
        <v>-60.7201668390441</v>
      </c>
      <c r="I127" s="48" t="n">
        <f aca="false">H127+1.02/(TAN($A$4*(H127+10.3/(H127+5.11)))*60)</f>
        <v>-60.7296268251184</v>
      </c>
      <c r="J127" s="39" t="n">
        <f aca="false">100*(1+COS($A$4*AQ127))/2</f>
        <v>60.4460735447816</v>
      </c>
      <c r="K127" s="48" t="n">
        <f aca="false">IF(AI127&gt;180,AT127-180,AT127+180)</f>
        <v>285.340091613925</v>
      </c>
      <c r="L127" s="10" t="n">
        <f aca="false">L126+1/8</f>
        <v>2459869.125</v>
      </c>
      <c r="M127" s="49" t="n">
        <f aca="false">(L127-2451545)/36525</f>
        <v>0.22790212183436</v>
      </c>
      <c r="N127" s="15" t="n">
        <f aca="false">MOD(280.46061837+360.98564736629*(L127-2451545)+0.000387933*M127^2-M127^3/38710000+$G$4,360)</f>
        <v>250.112521437462</v>
      </c>
      <c r="O127" s="18" t="n">
        <f aca="false">0.60643382+1336.85522467*M127 - 0.00000313*M127^2 - INT(0.60643382+1336.85522467*M127 - 0.00000313*M127^2)</f>
        <v>0.278575945072873</v>
      </c>
      <c r="P127" s="15" t="n">
        <f aca="false">22640*SIN(Q127)-4586*SIN(Q127-2*S127)+2370*SIN(2*S127)+769*SIN(2*Q127)-668*SIN(R127)-412*SIN(2*T127)-212*SIN(2*Q127-2*S127)-206*SIN(Q127+R127-2*S127)+192*SIN(Q127+2*S127)-165*SIN(R127-2*S127)-125*SIN(S127)-110*SIN(Q127+R127)+148*SIN(Q127-R127)-55*SIN(2*T127-2*S127)</f>
        <v>3616.93188568738</v>
      </c>
      <c r="Q127" s="18" t="n">
        <f aca="false">2*PI()*(0.374897+1325.55241*M127 - INT(0.374897+1325.55241*M127))</f>
        <v>2.96003273600832</v>
      </c>
      <c r="R127" s="26" t="n">
        <f aca="false">2*PI()*(0.99312619+99.99735956*M127 - 0.00000044*M127^2 - INT(0.99312619+99.99735956*M127- 0.00000044*M127^2))</f>
        <v>4.91807903353752</v>
      </c>
      <c r="S127" s="26" t="n">
        <f aca="false">2*PI()*(0.827361+1236.853086*M127 - INT(0.827361+1236.853086*M127))</f>
        <v>4.45354497325889</v>
      </c>
      <c r="T127" s="26" t="n">
        <f aca="false">2*PI()*(0.259086+1342.227825*M127 - INT(0.259086+1342.227825*M127))</f>
        <v>0.978011110394464</v>
      </c>
      <c r="U127" s="26" t="n">
        <f aca="false">T127+(P127+412*SIN(2*T127)+541*SIN(R127))/206264.8062</f>
        <v>0.994829985462751</v>
      </c>
      <c r="V127" s="26" t="n">
        <f aca="false">T127-2*S127</f>
        <v>-7.92907883612331</v>
      </c>
      <c r="W127" s="25" t="n">
        <f aca="false">-526*SIN(V127)+44*SIN(Q127+V127)-31*SIN(-Q127+V127)-23*SIN(R127+V127)+11*SIN(-R127+V127)-25*SIN(-2*Q127+T127)+21*SIN(-Q127+T127)</f>
        <v>492.605775042725</v>
      </c>
      <c r="X127" s="26" t="n">
        <f aca="false">2*PI()*(O127+P127/1296000-INT(O127+P127/1296000))</f>
        <v>1.76787966563377</v>
      </c>
      <c r="Y127" s="26" t="n">
        <f aca="false">(18520*SIN(U127)+W127)/206264.8062</f>
        <v>0.0776899726120767</v>
      </c>
      <c r="Z127" s="26" t="n">
        <f aca="false">Y127*180/PI()</f>
        <v>4.45130754115895</v>
      </c>
      <c r="AA127" s="26" t="n">
        <f aca="false">COS(Y127)*COS(X127)</f>
        <v>-0.195219336629491</v>
      </c>
      <c r="AB127" s="26" t="n">
        <f aca="false">COS(Y127)*SIN(X127)</f>
        <v>0.977683902059412</v>
      </c>
      <c r="AC127" s="26" t="n">
        <f aca="false">SIN(Y127)</f>
        <v>0.0776118435538249</v>
      </c>
      <c r="AD127" s="26" t="n">
        <f aca="false">COS($A$4*(23.4393-46.815*M127/3600))*AB127-SIN($A$4*(23.4393-46.815*M127/3600))*AC127</f>
        <v>0.866158951085985</v>
      </c>
      <c r="AE127" s="26" t="n">
        <f aca="false">SIN($A$4*(23.4393-46.815*M127/3600))*AB127+COS($A$4*(23.4393-46.815*M127/3600))*AC127</f>
        <v>0.460063128341717</v>
      </c>
      <c r="AF127" s="26" t="n">
        <f aca="false">SQRT(1-AE127*AE127)</f>
        <v>0.887886207765631</v>
      </c>
      <c r="AG127" s="10" t="n">
        <f aca="false">ATAN(AE127/AF127)/$A$4</f>
        <v>27.3911811338195</v>
      </c>
      <c r="AH127" s="26" t="n">
        <f aca="false">IF(24*ATAN(AD127/(AA127+AF127))/PI()&gt;0,24*ATAN(AD127/(AA127+AF127))/PI(),24*ATAN(AD127/(AA127+AF127))/PI()+24)</f>
        <v>6.84675894003413</v>
      </c>
      <c r="AI127" s="10" t="n">
        <f aca="false">IF(N127-15*AH127&gt;0,N127-15*AH127,360+N127-15*AH127)</f>
        <v>147.41113733695</v>
      </c>
      <c r="AJ127" s="18" t="n">
        <f aca="false">0.950724+0.051818*COS(Q127)+0.009531*COS(2*S127-Q127)+0.007843*COS(2*S127)+0.002824*COS(2*Q127)+0.000857*COS(2*S127+Q127)+0.000533*COS(2*S127-R127)+0.000401*COS(2*S127-R127-Q127)+0.00032*COS(Q127-R127)-0.000271*COS(S127)</f>
        <v>0.905038308247297</v>
      </c>
      <c r="AK127" s="50" t="n">
        <f aca="false">ASIN(COS($A$4*$G$2)*COS($A$4*AG127)*COS($A$4*AI127)+SIN($A$4*$G$2)*SIN($A$4*AG127))/$A$4</f>
        <v>-60.2716105216858</v>
      </c>
      <c r="AL127" s="18" t="n">
        <f aca="false">ASIN((0.9983271+0.0016764*COS($A$4*2*$G$2))*COS($A$4*AK127)*SIN($A$4*AJ127))/$A$4</f>
        <v>0.448556317358333</v>
      </c>
      <c r="AM127" s="18" t="n">
        <f aca="false">AK127-AL127</f>
        <v>-60.7201668390441</v>
      </c>
      <c r="AN127" s="10" t="n">
        <f aca="false"> IF(280.4664567 + 360007.6982779*M127/10 + 0.03032028*M127^2/100 + M127^3/49931000&lt;0,MOD(280.4664567 + 360007.6982779*M127/10 + 0.03032028*M127^2/100 + M127^3/49931000+360,360),MOD(280.4664567 + 360007.6982779*M127/10 + 0.03032028*M127^2/100 + M127^3/49931000,360))</f>
        <v>205.11830387215</v>
      </c>
      <c r="AO127" s="27" t="n">
        <f aca="false"> AN127 + (1.9146 - 0.004817*M127 - 0.000014*M127^2)*SIN(R127)+ (0.019993 - 0.000101*M127)*SIN(2*R127)+ 0.00029*SIN(3*R127)</f>
        <v>203.23738950785</v>
      </c>
      <c r="AP127" s="18" t="n">
        <f aca="false">ACOS(COS(X127-$A$4*AO127)*COS(Y127))/$A$4</f>
        <v>101.9087858331</v>
      </c>
      <c r="AQ127" s="25" t="n">
        <f aca="false">180 - AP127 -0.1468*(1-0.0549*SIN(R127))*SIN($A$4*AP127)/(1-0.0167*SIN($A$4*AO127))</f>
        <v>77.9408448213446</v>
      </c>
      <c r="AR127" s="25" t="n">
        <f aca="false">SIN($A$4*AI127)</f>
        <v>0.538607016236697</v>
      </c>
      <c r="AS127" s="25" t="n">
        <f aca="false">COS($A$4*AI127)*SIN($A$4*$G$2) - TAN($A$4*AG127)*COS($A$4*$G$2)</f>
        <v>-0.147751369195177</v>
      </c>
      <c r="AT127" s="25" t="n">
        <f aca="false">IF(OR(AND(AR127*AS127&gt;0), AND(AR127&lt;0,AS127&gt;0)), MOD(ATAN2(AS127,AR127)/$A$4+360,360),  ATAN2(AS127,AR127)/$A$4)</f>
        <v>105.340091613925</v>
      </c>
      <c r="AU127" s="29" t="n">
        <f aca="false">(1+SIN($A$4*H127)*SIN($A$4*AJ127))*120*ASIN(0.272481*SIN($A$4*AJ127))/$A$4</f>
        <v>29.1838593363011</v>
      </c>
      <c r="AV127" s="10" t="n">
        <f aca="false">COS(X127)</f>
        <v>-0.195809967694328</v>
      </c>
      <c r="AW127" s="10" t="n">
        <f aca="false">SIN(X127)</f>
        <v>0.98064185947345</v>
      </c>
      <c r="AX127" s="30" t="n">
        <f aca="false"> 385000.56 + (-20905355*COS(Q127) - 3699111*COS(2*S127-Q127) - 2955968*COS(2*S127) - 569925*COS(2*Q127) + (1-0.002516*M127)*48888*COS(R127) - 3149*COS(2*T127)  +246158*COS(2*S127-2*Q127) -(1-0.002516*M127)*152138*COS(2*S127-R127-Q127) -170733*COS(2*S127+Q127) -(1-0.002516*M127)*204586*COS(2*S127-R127) -(1-0.002516*M127)*129620*COS(R127-Q127)  + 108743*COS(S127) +(1-0.002516*M127)*104755*COS(R127+Q127) +10321*COS(2*S127-2*T127) +79661*COS(Q127-2*T127) -34782*COS(4*S127-Q127) -23210*COS(3*Q127)  -21636*COS(4*S127-2*Q127) +(1-0.002516*M127)*24208*COS(2*S127+R127-Q127) +(1-0.002516*M127)*30824*COS(2*S127+R127) -8379*COS(S127-Q127) -(1-0.002516*M127)*16675*COS(S127+R127)  -(1-0.002516*M127)*12831*COS(2*S127-R127+Q127) -10445*COS(2*S127+2*Q127) -11650*COS(4*S127) +14403*COS(2*S127-3*Q127) -(1-0.002516*M127)*7003*COS(R127-2*Q127)  + (1-0.002516*M127)*10056*COS(2*S127-R127-2*Q127) +6322*COS(S127+Q127) -(1-0.002516*M127)*(1-0.002516*M127)*9884*COS(2*S127-2*R127) +(1-0.002516*M127)*5751*COS(R127+2*Q127) -(1-0.002516*M127)*(1-0.002516*M127)*4950*COS(2*S127-2*R127-Q127)  +4130*COS(2*S127+Q127-2*T127) -(1-0.002516*M127)*3958*COS(4*S127-R127-Q127) +3258*COS(3*S127-Q127) +(1-0.002516*M127)*2616*COS(2*S127+R127+Q127) -(1-0.002516*M127)*1897*COS(4*S127-R127-2*Q127)  -(1-0.002516*M127)*(1-0.002516*M127)*2117*COS(2*R127-Q127) +(1-0.002516*M127)*(1-0.002516*M127)*2354*COS(2*S127+2*R127-Q127) -1423*COS(4*S127+Q127) -1117*COS(4*Q127) -(1-0.002516*M127)*1571*COS(4*S127-R127)  -1739*COS(S127-2*Q127) -4421*COS(2*Q127-2*T127) +(1-0.002516*M127)*(1-0.002516*M127)*1165*COS(2*R127+Q127) +8752*COS(2*S127-Q127-2*T127))/1000</f>
        <v>403902.535252471</v>
      </c>
      <c r="AY127" s="10" t="n">
        <f aca="false">AY126+1/8</f>
        <v>16.625</v>
      </c>
      <c r="AZ127" s="17" t="n">
        <f aca="false">AZ126+1</f>
        <v>126</v>
      </c>
      <c r="BA127" s="32" t="n">
        <f aca="false">ATAN(0.99664719*TAN($A$4*input!$E$2))</f>
        <v>-0.400219206115995</v>
      </c>
      <c r="BB127" s="32" t="n">
        <f aca="false">COS(BA127)</f>
        <v>0.920975608992155</v>
      </c>
      <c r="BC127" s="32" t="n">
        <f aca="false">0.99664719*SIN(BA127)</f>
        <v>-0.388313912533463</v>
      </c>
      <c r="BD127" s="32" t="n">
        <f aca="false">6378.14/AX127</f>
        <v>0.0157912848851349</v>
      </c>
      <c r="BE127" s="33" t="n">
        <f aca="false">MOD(N127-15*AH127,360)</f>
        <v>147.41113733695</v>
      </c>
      <c r="BF127" s="27" t="n">
        <f aca="false">COS($A$4*AG127)*SIN($A$4*BE127)</f>
        <v>0.478221741122362</v>
      </c>
      <c r="BG127" s="27" t="n">
        <f aca="false">COS($A$4*AG127)*COS($A$4*BE127)-BB127*BD127</f>
        <v>-0.76263822462053</v>
      </c>
      <c r="BH127" s="27" t="n">
        <f aca="false">SIN($A$4*AG127)-BC127*BD127</f>
        <v>0.466195103959395</v>
      </c>
      <c r="BI127" s="46" t="n">
        <f aca="false">SQRT(BF127^2+BG127^2+BH127^2)</f>
        <v>1.01373121205286</v>
      </c>
      <c r="BJ127" s="35" t="n">
        <f aca="false">AX127*BI127</f>
        <v>409448.606612712</v>
      </c>
    </row>
    <row r="128" customFormat="false" ht="15" hidden="false" customHeight="false" outlineLevel="0" collapsed="false">
      <c r="A128" s="20"/>
      <c r="B128" s="20"/>
      <c r="C128" s="15" t="n">
        <f aca="false">MOD(C127+3,24)</f>
        <v>18</v>
      </c>
      <c r="D128" s="17" t="n">
        <v>16</v>
      </c>
      <c r="E128" s="102" t="n">
        <f aca="false">input!$C$2</f>
        <v>10</v>
      </c>
      <c r="F128" s="102" t="n">
        <f aca="false">input!$D$2</f>
        <v>2022</v>
      </c>
      <c r="H128" s="39" t="n">
        <f aca="false">AM128</f>
        <v>-79.4310050040704</v>
      </c>
      <c r="I128" s="48" t="n">
        <f aca="false">H128+1.02/(TAN($A$4*(H128+10.3/(H128+5.11)))*60)</f>
        <v>-79.4341344146754</v>
      </c>
      <c r="J128" s="39" t="n">
        <f aca="false">100*(1+COS($A$4*AQ128))/2</f>
        <v>59.2842862675623</v>
      </c>
      <c r="K128" s="48" t="n">
        <f aca="false">IF(AI128&gt;180,AT128-180,AT128+180)</f>
        <v>64.0211091936545</v>
      </c>
      <c r="L128" s="10" t="n">
        <f aca="false">L127+1/8</f>
        <v>2459869.25</v>
      </c>
      <c r="M128" s="49" t="n">
        <f aca="false">(L128-2451545)/36525</f>
        <v>0.227905544147844</v>
      </c>
      <c r="N128" s="15" t="n">
        <f aca="false">MOD(280.46061837+360.98564736629*(L128-2451545)+0.000387933*M128^2-M128^3/38710000+$G$4,360)</f>
        <v>295.235727358609</v>
      </c>
      <c r="O128" s="18" t="n">
        <f aca="false">0.60643382+1336.85522467*M128 - 0.00000313*M128^2 - INT(0.60643382+1336.85522467*M128 - 0.00000313*M128^2)</f>
        <v>0.283151082729432</v>
      </c>
      <c r="P128" s="15" t="n">
        <f aca="false">22640*SIN(Q128)-4586*SIN(Q128-2*S128)+2370*SIN(2*S128)+769*SIN(2*Q128)-668*SIN(R128)-412*SIN(2*T128)-212*SIN(2*Q128-2*S128)-206*SIN(Q128+R128-2*S128)+192*SIN(Q128+2*S128)-165*SIN(R128-2*S128)-125*SIN(S128)-110*SIN(Q128+R128)+148*SIN(Q128-R128)-55*SIN(2*T128-2*S128)</f>
        <v>3036.96466560021</v>
      </c>
      <c r="Q128" s="18" t="n">
        <f aca="false">2*PI()*(0.374897+1325.55241*M128 - INT(0.374897+1325.55241*M128))</f>
        <v>2.98853612898012</v>
      </c>
      <c r="R128" s="26" t="n">
        <f aca="false">2*PI()*(0.99312619+99.99735956*M128 - 0.00000044*M128^2 - INT(0.99312619+99.99735956*M128- 0.00000044*M128^2))</f>
        <v>4.92022927973558</v>
      </c>
      <c r="S128" s="26" t="n">
        <f aca="false">2*PI()*(0.827361+1236.853086*M128 - INT(0.827361+1236.853086*M128))</f>
        <v>4.48014106202381</v>
      </c>
      <c r="T128" s="26" t="n">
        <f aca="false">2*PI()*(0.259086+1342.227825*M128 - INT(0.259086+1342.227825*M128))</f>
        <v>1.00687307531222</v>
      </c>
      <c r="U128" s="26" t="n">
        <f aca="false">T128+(P128+412*SIN(2*T128)+541*SIN(R128))/206264.8062</f>
        <v>1.0208349628108</v>
      </c>
      <c r="V128" s="26" t="n">
        <f aca="false">T128-2*S128</f>
        <v>-7.9534090487354</v>
      </c>
      <c r="W128" s="25" t="n">
        <f aca="false">-526*SIN(V128)+44*SIN(Q128+V128)-31*SIN(-Q128+V128)-23*SIN(R128+V128)+11*SIN(-R128+V128)-25*SIN(-2*Q128+T128)+21*SIN(-Q128+T128)</f>
        <v>490.787281499096</v>
      </c>
      <c r="X128" s="26" t="n">
        <f aca="false">2*PI()*(O128+P128/1296000-INT(O128+P128/1296000))</f>
        <v>1.79381434290685</v>
      </c>
      <c r="Y128" s="26" t="n">
        <f aca="false">(18520*SIN(U128)+W128)/206264.8062</f>
        <v>0.0789272572538429</v>
      </c>
      <c r="Z128" s="26" t="n">
        <f aca="false">Y128*180/PI()</f>
        <v>4.52219872918851</v>
      </c>
      <c r="AA128" s="26" t="n">
        <f aca="false">COS(Y128)*COS(X128)</f>
        <v>-0.22048535380361</v>
      </c>
      <c r="AB128" s="26" t="n">
        <f aca="false">COS(Y128)*SIN(X128)</f>
        <v>0.972198344828489</v>
      </c>
      <c r="AC128" s="26" t="n">
        <f aca="false">SIN(Y128)</f>
        <v>0.078845336392478</v>
      </c>
      <c r="AD128" s="26" t="n">
        <f aca="false">COS($A$4*(23.4393-46.815*M128/3600))*AB128-SIN($A$4*(23.4393-46.815*M128/3600))*AC128</f>
        <v>0.860635341650901</v>
      </c>
      <c r="AE128" s="26" t="n">
        <f aca="false">SIN($A$4*(23.4393-46.815*M128/3600))*AB128+COS($A$4*(23.4393-46.815*M128/3600))*AC128</f>
        <v>0.459013090727851</v>
      </c>
      <c r="AF128" s="26" t="n">
        <f aca="false">SQRT(1-AE128*AE128)</f>
        <v>0.888429503416262</v>
      </c>
      <c r="AG128" s="10" t="n">
        <f aca="false">ATAN(AE128/AF128)/$A$4</f>
        <v>27.3234423684434</v>
      </c>
      <c r="AH128" s="26" t="n">
        <f aca="false">IF(24*ATAN(AD128/(AA128+AF128))/PI()&gt;0,24*ATAN(AD128/(AA128+AF128))/PI(),24*ATAN(AD128/(AA128+AF128))/PI()+24)</f>
        <v>6.9579667894245</v>
      </c>
      <c r="AI128" s="10" t="n">
        <f aca="false">IF(N128-15*AH128&gt;0,N128-15*AH128,360+N128-15*AH128)</f>
        <v>190.866225517242</v>
      </c>
      <c r="AJ128" s="18" t="n">
        <f aca="false">0.950724+0.051818*COS(Q128)+0.009531*COS(2*S128-Q128)+0.007843*COS(2*S128)+0.002824*COS(2*Q128)+0.000857*COS(2*S128+Q128)+0.000533*COS(2*S128-R128)+0.000401*COS(2*S128-R128-Q128)+0.00032*COS(Q128-R128)-0.000271*COS(S128)</f>
        <v>0.904780095242861</v>
      </c>
      <c r="AK128" s="50" t="n">
        <f aca="false">ASIN(COS($A$4*$G$2)*COS($A$4*AG128)*COS($A$4*AI128)+SIN($A$4*$G$2)*SIN($A$4*AG128))/$A$4</f>
        <v>-79.2625286006534</v>
      </c>
      <c r="AL128" s="18" t="n">
        <f aca="false">ASIN((0.9983271+0.0016764*COS($A$4*2*$G$2))*COS($A$4*AK128)*SIN($A$4*AJ128))/$A$4</f>
        <v>0.168476403416969</v>
      </c>
      <c r="AM128" s="18" t="n">
        <f aca="false">AK128-AL128</f>
        <v>-79.4310050040704</v>
      </c>
      <c r="AN128" s="10" t="n">
        <f aca="false"> IF(280.4664567 + 360007.6982779*M128/10 + 0.03032028*M128^2/100 + M128^3/49931000&lt;0,MOD(280.4664567 + 360007.6982779*M128/10 + 0.03032028*M128^2/100 + M128^3/49931000+360,360),MOD(280.4664567 + 360007.6982779*M128/10 + 0.03032028*M128^2/100 + M128^3/49931000,360))</f>
        <v>205.241509792637</v>
      </c>
      <c r="AO128" s="27" t="n">
        <f aca="false"> AN128 + (1.9146 - 0.004817*M128 - 0.000014*M128^2)*SIN(R128)+ (0.019993 - 0.000101*M128)*SIN(2*R128)+ 0.00029*SIN(3*R128)</f>
        <v>203.361360401803</v>
      </c>
      <c r="AP128" s="18" t="n">
        <f aca="false">ACOS(COS(X128-$A$4*AO128)*COS(Y128))/$A$4</f>
        <v>100.550043725531</v>
      </c>
      <c r="AQ128" s="25" t="n">
        <f aca="false">180 - AP128 -0.1468*(1-0.0549*SIN(R128))*SIN($A$4*AP128)/(1-0.0167*SIN($A$4*AO128))</f>
        <v>79.2988857031018</v>
      </c>
      <c r="AR128" s="25" t="n">
        <f aca="false">SIN($A$4*AI128)</f>
        <v>-0.188516569147073</v>
      </c>
      <c r="AS128" s="25" t="n">
        <f aca="false">COS($A$4*AI128)*SIN($A$4*$G$2) - TAN($A$4*AG128)*COS($A$4*$G$2)</f>
        <v>-0.091859713516332</v>
      </c>
      <c r="AT128" s="25" t="n">
        <f aca="false">IF(OR(AND(AR128*AS128&gt;0), AND(AR128&lt;0,AS128&gt;0)), MOD(ATAN2(AS128,AR128)/$A$4+360,360),  ATAN2(AS128,AR128)/$A$4)</f>
        <v>244.021109193655</v>
      </c>
      <c r="AU128" s="29" t="n">
        <f aca="false">(1+SIN($A$4*H128)*SIN($A$4*AJ128))*120*ASIN(0.272481*SIN($A$4*AJ128))/$A$4</f>
        <v>29.1238940515954</v>
      </c>
      <c r="AV128" s="10" t="n">
        <f aca="false">COS(X128)</f>
        <v>-0.221173898972521</v>
      </c>
      <c r="AW128" s="10" t="n">
        <f aca="false">SIN(X128)</f>
        <v>0.975234385372713</v>
      </c>
      <c r="AX128" s="30" t="n">
        <f aca="false"> 385000.56 + (-20905355*COS(Q128) - 3699111*COS(2*S128-Q128) - 2955968*COS(2*S128) - 569925*COS(2*Q128) + (1-0.002516*M128)*48888*COS(R128) - 3149*COS(2*T128)  +246158*COS(2*S128-2*Q128) -(1-0.002516*M128)*152138*COS(2*S128-R128-Q128) -170733*COS(2*S128+Q128) -(1-0.002516*M128)*204586*COS(2*S128-R128) -(1-0.002516*M128)*129620*COS(R128-Q128)  + 108743*COS(S128) +(1-0.002516*M128)*104755*COS(R128+Q128) +10321*COS(2*S128-2*T128) +79661*COS(Q128-2*T128) -34782*COS(4*S128-Q128) -23210*COS(3*Q128)  -21636*COS(4*S128-2*Q128) +(1-0.002516*M128)*24208*COS(2*S128+R128-Q128) +(1-0.002516*M128)*30824*COS(2*S128+R128) -8379*COS(S128-Q128) -(1-0.002516*M128)*16675*COS(S128+R128)  -(1-0.002516*M128)*12831*COS(2*S128-R128+Q128) -10445*COS(2*S128+2*Q128) -11650*COS(4*S128) +14403*COS(2*S128-3*Q128) -(1-0.002516*M128)*7003*COS(R128-2*Q128)  + (1-0.002516*M128)*10056*COS(2*S128-R128-2*Q128) +6322*COS(S128+Q128) -(1-0.002516*M128)*(1-0.002516*M128)*9884*COS(2*S128-2*R128) +(1-0.002516*M128)*5751*COS(R128+2*Q128) -(1-0.002516*M128)*(1-0.002516*M128)*4950*COS(2*S128-2*R128-Q128)  +4130*COS(2*S128+Q128-2*T128) -(1-0.002516*M128)*3958*COS(4*S128-R128-Q128) +3258*COS(3*S128-Q128) +(1-0.002516*M128)*2616*COS(2*S128+R128+Q128) -(1-0.002516*M128)*1897*COS(4*S128-R128-2*Q128)  -(1-0.002516*M128)*(1-0.002516*M128)*2117*COS(2*R128-Q128) +(1-0.002516*M128)*(1-0.002516*M128)*2354*COS(2*S128+2*R128-Q128) -1423*COS(4*S128+Q128) -1117*COS(4*Q128) -(1-0.002516*M128)*1571*COS(4*S128-R128)  -1739*COS(S128-2*Q128) -4421*COS(2*Q128-2*T128) +(1-0.002516*M128)*(1-0.002516*M128)*1165*COS(2*R128+Q128) +8752*COS(2*S128-Q128-2*T128))/1000</f>
        <v>404023.425948006</v>
      </c>
      <c r="AY128" s="10" t="n">
        <f aca="false">AY127+1/8</f>
        <v>16.75</v>
      </c>
      <c r="AZ128" s="17" t="n">
        <f aca="false">AZ127+1</f>
        <v>127</v>
      </c>
      <c r="BA128" s="32" t="n">
        <f aca="false">ATAN(0.99664719*TAN($A$4*input!$E$2))</f>
        <v>-0.400219206115995</v>
      </c>
      <c r="BB128" s="32" t="n">
        <f aca="false">COS(BA128)</f>
        <v>0.920975608992155</v>
      </c>
      <c r="BC128" s="32" t="n">
        <f aca="false">0.99664719*SIN(BA128)</f>
        <v>-0.388313912533463</v>
      </c>
      <c r="BD128" s="32" t="n">
        <f aca="false">6378.14/AX128</f>
        <v>0.0157865598635382</v>
      </c>
      <c r="BE128" s="33" t="n">
        <f aca="false">MOD(N128-15*AH128,360)</f>
        <v>190.866225517242</v>
      </c>
      <c r="BF128" s="27" t="n">
        <f aca="false">COS($A$4*AG128)*SIN($A$4*BE128)</f>
        <v>-0.167483681913071</v>
      </c>
      <c r="BG128" s="27" t="n">
        <f aca="false">COS($A$4*AG128)*COS($A$4*BE128)-BB128*BD128</f>
        <v>-0.887039007262326</v>
      </c>
      <c r="BH128" s="27" t="n">
        <f aca="false">SIN($A$4*AG128)-BC128*BD128</f>
        <v>0.465143231553905</v>
      </c>
      <c r="BI128" s="46" t="n">
        <f aca="false">SQRT(BF128^2+BG128^2+BH128^2)</f>
        <v>1.01550342686399</v>
      </c>
      <c r="BJ128" s="35" t="n">
        <f aca="false">AX128*BI128</f>
        <v>410287.173583529</v>
      </c>
    </row>
    <row r="129" customFormat="false" ht="15" hidden="false" customHeight="false" outlineLevel="0" collapsed="false">
      <c r="A129" s="20"/>
      <c r="B129" s="20"/>
      <c r="C129" s="15" t="n">
        <f aca="false">MOD(C128+3,24)</f>
        <v>21</v>
      </c>
      <c r="D129" s="17" t="n">
        <v>16</v>
      </c>
      <c r="E129" s="102" t="n">
        <f aca="false">input!$C$2</f>
        <v>10</v>
      </c>
      <c r="F129" s="102" t="n">
        <f aca="false">input!$D$2</f>
        <v>2022</v>
      </c>
      <c r="H129" s="39" t="n">
        <f aca="false">AM129</f>
        <v>-41.687941787989</v>
      </c>
      <c r="I129" s="48" t="n">
        <f aca="false">H129+1.02/(TAN($A$4*(H129+10.3/(H129+5.11)))*60)</f>
        <v>-41.7068424030636</v>
      </c>
      <c r="J129" s="39" t="n">
        <f aca="false">100*(1+COS($A$4*AQ129))/2</f>
        <v>58.1178847792578</v>
      </c>
      <c r="K129" s="48" t="n">
        <f aca="false">IF(AI129&gt;180,AT129-180,AT129+180)</f>
        <v>73.1562774361859</v>
      </c>
      <c r="L129" s="10" t="n">
        <f aca="false">L128+1/8</f>
        <v>2459869.375</v>
      </c>
      <c r="M129" s="49" t="n">
        <f aca="false">(L129-2451545)/36525</f>
        <v>0.227908966461328</v>
      </c>
      <c r="N129" s="15" t="n">
        <f aca="false">MOD(280.46061837+360.98564736629*(L129-2451545)+0.000387933*M129^2-M129^3/38710000+$G$4,360)</f>
        <v>340.358933280222</v>
      </c>
      <c r="O129" s="18" t="n">
        <f aca="false">0.60643382+1336.85522467*M129 - 0.00000313*M129^2 - INT(0.60643382+1336.85522467*M129 - 0.00000313*M129^2)</f>
        <v>0.287726220385935</v>
      </c>
      <c r="P129" s="15" t="n">
        <f aca="false">22640*SIN(Q129)-4586*SIN(Q129-2*S129)+2370*SIN(2*S129)+769*SIN(2*Q129)-668*SIN(R129)-412*SIN(2*T129)-212*SIN(2*Q129-2*S129)-206*SIN(Q129+R129-2*S129)+192*SIN(Q129+2*S129)-165*SIN(R129-2*S129)-125*SIN(S129)-110*SIN(Q129+R129)+148*SIN(Q129-R129)-55*SIN(2*T129-2*S129)</f>
        <v>2455.13558746132</v>
      </c>
      <c r="Q129" s="18" t="n">
        <f aca="false">2*PI()*(0.374897+1325.55241*M129 - INT(0.374897+1325.55241*M129))</f>
        <v>3.01703952195227</v>
      </c>
      <c r="R129" s="26" t="n">
        <f aca="false">2*PI()*(0.99312619+99.99735956*M129 - 0.00000044*M129^2 - INT(0.99312619+99.99735956*M129- 0.00000044*M129^2))</f>
        <v>4.92237952593368</v>
      </c>
      <c r="S129" s="26" t="n">
        <f aca="false">2*PI()*(0.827361+1236.853086*M129 - INT(0.827361+1236.853086*M129))</f>
        <v>4.50673715078838</v>
      </c>
      <c r="T129" s="26" t="n">
        <f aca="false">2*PI()*(0.259086+1342.227825*M129 - INT(0.259086+1342.227825*M129))</f>
        <v>1.03573504022963</v>
      </c>
      <c r="U129" s="26" t="n">
        <f aca="false">T129+(P129+412*SIN(2*T129)+541*SIN(R129))/206264.8062</f>
        <v>1.04682491392112</v>
      </c>
      <c r="V129" s="26" t="n">
        <f aca="false">T129-2*S129</f>
        <v>-7.97773926134713</v>
      </c>
      <c r="W129" s="25" t="n">
        <f aca="false">-526*SIN(V129)+44*SIN(Q129+V129)-31*SIN(-Q129+V129)-23*SIN(R129+V129)+11*SIN(-R129+V129)-25*SIN(-2*Q129+T129)+21*SIN(-Q129+T129)</f>
        <v>488.764875665454</v>
      </c>
      <c r="X129" s="26" t="n">
        <f aca="false">2*PI()*(O129+P129/1296000-INT(O129+P129/1296000))</f>
        <v>1.81973999363702</v>
      </c>
      <c r="Y129" s="26" t="n">
        <f aca="false">(18520*SIN(U129)+W129)/206264.8062</f>
        <v>0.0801111150444079</v>
      </c>
      <c r="Z129" s="26" t="n">
        <f aca="false">Y129*180/PI()</f>
        <v>4.59002878413156</v>
      </c>
      <c r="AA129" s="26" t="n">
        <f aca="false">COS(Y129)*COS(X129)</f>
        <v>-0.245590141142258</v>
      </c>
      <c r="AB129" s="26" t="n">
        <f aca="false">COS(Y129)*SIN(X129)</f>
        <v>0.966064909528976</v>
      </c>
      <c r="AC129" s="26" t="n">
        <f aca="false">SIN(Y129)</f>
        <v>0.0800254531414709</v>
      </c>
      <c r="AD129" s="26" t="n">
        <f aca="false">COS($A$4*(23.4393-46.815*M129/3600))*AB129-SIN($A$4*(23.4393-46.815*M129/3600))*AC129</f>
        <v>0.854538531681404</v>
      </c>
      <c r="AE129" s="26" t="n">
        <f aca="false">SIN($A$4*(23.4393-46.815*M129/3600))*AB129+COS($A$4*(23.4393-46.815*M129/3600))*AC129</f>
        <v>0.457656399983128</v>
      </c>
      <c r="AF129" s="26" t="n">
        <f aca="false">SQRT(1-AE129*AE129)</f>
        <v>0.889129135477228</v>
      </c>
      <c r="AG129" s="10" t="n">
        <f aca="false">ATAN(AE129/AF129)/$A$4</f>
        <v>27.2359823691133</v>
      </c>
      <c r="AH129" s="26" t="n">
        <f aca="false">IF(24*ATAN(AD129/(AA129+AF129))/PI()&gt;0,24*ATAN(AD129/(AA129+AF129))/PI(),24*ATAN(AD129/(AA129+AF129))/PI()+24)</f>
        <v>7.06895925744619</v>
      </c>
      <c r="AI129" s="10" t="n">
        <f aca="false">IF(N129-15*AH129&gt;0,N129-15*AH129,360+N129-15*AH129)</f>
        <v>234.324544418529</v>
      </c>
      <c r="AJ129" s="18" t="n">
        <f aca="false">0.950724+0.051818*COS(Q129)+0.009531*COS(2*S129-Q129)+0.007843*COS(2*S129)+0.002824*COS(2*Q129)+0.000857*COS(2*S129+Q129)+0.000533*COS(2*S129-R129)+0.000401*COS(2*S129-R129-Q129)+0.00032*COS(Q129-R129)-0.000271*COS(S129)</f>
        <v>0.90456518075752</v>
      </c>
      <c r="AK129" s="50" t="n">
        <f aca="false">ASIN(COS($A$4*$G$2)*COS($A$4*AG129)*COS($A$4*AI129)+SIN($A$4*$G$2)*SIN($A$4*AG129))/$A$4</f>
        <v>-41.0056758198815</v>
      </c>
      <c r="AL129" s="18" t="n">
        <f aca="false">ASIN((0.9983271+0.0016764*COS($A$4*2*$G$2))*COS($A$4*AK129)*SIN($A$4*AJ129))/$A$4</f>
        <v>0.682265968107467</v>
      </c>
      <c r="AM129" s="18" t="n">
        <f aca="false">AK129-AL129</f>
        <v>-41.687941787989</v>
      </c>
      <c r="AN129" s="10" t="n">
        <f aca="false"> IF(280.4664567 + 360007.6982779*M129/10 + 0.03032028*M129^2/100 + M129^3/49931000&lt;0,MOD(280.4664567 + 360007.6982779*M129/10 + 0.03032028*M129^2/100 + M129^3/49931000+360,360),MOD(280.4664567 + 360007.6982779*M129/10 + 0.03032028*M129^2/100 + M129^3/49931000,360))</f>
        <v>205.364715713122</v>
      </c>
      <c r="AO129" s="27" t="n">
        <f aca="false"> AN129 + (1.9146 - 0.004817*M129 - 0.000014*M129^2)*SIN(R129)+ (0.019993 - 0.000101*M129)*SIN(2*R129)+ 0.00029*SIN(3*R129)</f>
        <v>203.485340091867</v>
      </c>
      <c r="AP129" s="18" t="n">
        <f aca="false">ACOS(COS(X129-$A$4*AO129)*COS(Y129))/$A$4</f>
        <v>99.1920854814142</v>
      </c>
      <c r="AQ129" s="25" t="n">
        <f aca="false">180 - AP129 -0.1468*(1-0.0549*SIN(R129))*SIN($A$4*AP129)/(1-0.0167*SIN($A$4*AO129))</f>
        <v>80.6562281176483</v>
      </c>
      <c r="AR129" s="25" t="n">
        <f aca="false">SIN($A$4*AI129)</f>
        <v>-0.812333430290187</v>
      </c>
      <c r="AS129" s="25" t="n">
        <f aca="false">COS($A$4*AI129)*SIN($A$4*$G$2) - TAN($A$4*AG129)*COS($A$4*$G$2)</f>
        <v>-0.245934478299654</v>
      </c>
      <c r="AT129" s="25" t="n">
        <f aca="false">IF(OR(AND(AR129*AS129&gt;0), AND(AR129&lt;0,AS129&gt;0)), MOD(ATAN2(AS129,AR129)/$A$4+360,360),  ATAN2(AS129,AR129)/$A$4)</f>
        <v>253.156277436186</v>
      </c>
      <c r="AU129" s="29" t="n">
        <f aca="false">(1+SIN($A$4*H129)*SIN($A$4*AJ129))*120*ASIN(0.272481*SIN($A$4*AJ129))/$A$4</f>
        <v>29.2655474596784</v>
      </c>
      <c r="AV129" s="10" t="n">
        <f aca="false">COS(X129)</f>
        <v>-0.246380327095163</v>
      </c>
      <c r="AW129" s="10" t="n">
        <f aca="false">SIN(X129)</f>
        <v>0.96917322209215</v>
      </c>
      <c r="AX129" s="30" t="n">
        <f aca="false"> 385000.56 + (-20905355*COS(Q129) - 3699111*COS(2*S129-Q129) - 2955968*COS(2*S129) - 569925*COS(2*Q129) + (1-0.002516*M129)*48888*COS(R129) - 3149*COS(2*T129)  +246158*COS(2*S129-2*Q129) -(1-0.002516*M129)*152138*COS(2*S129-R129-Q129) -170733*COS(2*S129+Q129) -(1-0.002516*M129)*204586*COS(2*S129-R129) -(1-0.002516*M129)*129620*COS(R129-Q129)  + 108743*COS(S129) +(1-0.002516*M129)*104755*COS(R129+Q129) +10321*COS(2*S129-2*T129) +79661*COS(Q129-2*T129) -34782*COS(4*S129-Q129) -23210*COS(3*Q129)  -21636*COS(4*S129-2*Q129) +(1-0.002516*M129)*24208*COS(2*S129+R129-Q129) +(1-0.002516*M129)*30824*COS(2*S129+R129) -8379*COS(S129-Q129) -(1-0.002516*M129)*16675*COS(S129+R129)  -(1-0.002516*M129)*12831*COS(2*S129-R129+Q129) -10445*COS(2*S129+2*Q129) -11650*COS(4*S129) +14403*COS(2*S129-3*Q129) -(1-0.002516*M129)*7003*COS(R129-2*Q129)  + (1-0.002516*M129)*10056*COS(2*S129-R129-2*Q129) +6322*COS(S129+Q129) -(1-0.002516*M129)*(1-0.002516*M129)*9884*COS(2*S129-2*R129) +(1-0.002516*M129)*5751*COS(R129+2*Q129) -(1-0.002516*M129)*(1-0.002516*M129)*4950*COS(2*S129-2*R129-Q129)  +4130*COS(2*S129+Q129-2*T129) -(1-0.002516*M129)*3958*COS(4*S129-R129-Q129) +3258*COS(3*S129-Q129) +(1-0.002516*M129)*2616*COS(2*S129+R129+Q129) -(1-0.002516*M129)*1897*COS(4*S129-R129-2*Q129)  -(1-0.002516*M129)*(1-0.002516*M129)*2117*COS(2*R129-Q129) +(1-0.002516*M129)*(1-0.002516*M129)*2354*COS(2*S129+2*R129-Q129) -1423*COS(4*S129+Q129) -1117*COS(4*Q129) -(1-0.002516*M129)*1571*COS(4*S129-R129)  -1739*COS(S129-2*Q129) -4421*COS(2*Q129-2*T129) +(1-0.002516*M129)*(1-0.002516*M129)*1165*COS(2*R129+Q129) +8752*COS(2*S129-Q129-2*T129))/1000</f>
        <v>404124.332341513</v>
      </c>
      <c r="AY129" s="10" t="n">
        <f aca="false">AY128+1/8</f>
        <v>16.875</v>
      </c>
      <c r="AZ129" s="17" t="n">
        <f aca="false">AZ128+1</f>
        <v>128</v>
      </c>
      <c r="BA129" s="32" t="n">
        <f aca="false">ATAN(0.99664719*TAN($A$4*input!$E$2))</f>
        <v>-0.400219206115995</v>
      </c>
      <c r="BB129" s="32" t="n">
        <f aca="false">COS(BA129)</f>
        <v>0.920975608992155</v>
      </c>
      <c r="BC129" s="32" t="n">
        <f aca="false">0.99664719*SIN(BA129)</f>
        <v>-0.388313912533463</v>
      </c>
      <c r="BD129" s="32" t="n">
        <f aca="false">6378.14/AX129</f>
        <v>0.0157826180943988</v>
      </c>
      <c r="BE129" s="33" t="n">
        <f aca="false">MOD(N129-15*AH129,360)</f>
        <v>234.324544418529</v>
      </c>
      <c r="BF129" s="27" t="n">
        <f aca="false">COS($A$4*AG129)*SIN($A$4*BE129)</f>
        <v>-0.722269320593165</v>
      </c>
      <c r="BG129" s="27" t="n">
        <f aca="false">COS($A$4*AG129)*COS($A$4*BE129)-BB129*BD129</f>
        <v>-0.533069540273606</v>
      </c>
      <c r="BH129" s="27" t="n">
        <f aca="false">SIN($A$4*AG129)-BC129*BD129</f>
        <v>0.463785010165385</v>
      </c>
      <c r="BI129" s="46" t="n">
        <f aca="false">SQRT(BF129^2+BG129^2+BH129^2)</f>
        <v>1.01041211487775</v>
      </c>
      <c r="BJ129" s="35" t="n">
        <f aca="false">AX129*BI129</f>
        <v>408332.121314748</v>
      </c>
    </row>
    <row r="130" customFormat="false" ht="15" hidden="false" customHeight="false" outlineLevel="0" collapsed="false">
      <c r="A130" s="20"/>
      <c r="B130" s="20"/>
      <c r="C130" s="15" t="n">
        <f aca="false">MOD(C129+3,24)</f>
        <v>0</v>
      </c>
      <c r="D130" s="36" t="n">
        <v>17</v>
      </c>
      <c r="E130" s="102" t="n">
        <f aca="false">input!$C$2</f>
        <v>10</v>
      </c>
      <c r="F130" s="102" t="n">
        <f aca="false">input!$D$2</f>
        <v>2022</v>
      </c>
      <c r="H130" s="39" t="n">
        <f aca="false">AM130</f>
        <v>-4.75391086455533</v>
      </c>
      <c r="I130" s="48" t="n">
        <f aca="false">H130+1.02/(TAN($A$4*(H130+10.3/(H130+5.11)))*60)</f>
        <v>-4.7160336483106</v>
      </c>
      <c r="J130" s="39" t="n">
        <f aca="false">100*(1+COS($A$4*AQ130))/2</f>
        <v>56.9473982108008</v>
      </c>
      <c r="K130" s="48" t="n">
        <f aca="false">IF(AI130&gt;180,AT130-180,AT130+180)</f>
        <v>62.1009561263346</v>
      </c>
      <c r="L130" s="10" t="n">
        <f aca="false">L129+1/8</f>
        <v>2459869.5</v>
      </c>
      <c r="M130" s="49" t="n">
        <f aca="false">(L130-2451545)/36525</f>
        <v>0.227912388774812</v>
      </c>
      <c r="N130" s="15" t="n">
        <f aca="false">MOD(280.46061837+360.98564736629*(L130-2451545)+0.000387933*M130^2-M130^3/38710000+$G$4,360)</f>
        <v>25.4821392018348</v>
      </c>
      <c r="O130" s="18" t="n">
        <f aca="false">0.60643382+1336.85522467*M130 - 0.00000313*M130^2 - INT(0.60643382+1336.85522467*M130 - 0.00000313*M130^2)</f>
        <v>0.292301358042494</v>
      </c>
      <c r="P130" s="15" t="n">
        <f aca="false">22640*SIN(Q130)-4586*SIN(Q130-2*S130)+2370*SIN(2*S130)+769*SIN(2*Q130)-668*SIN(R130)-412*SIN(2*T130)-212*SIN(2*Q130-2*S130)-206*SIN(Q130+R130-2*S130)+192*SIN(Q130+2*S130)-165*SIN(R130-2*S130)-125*SIN(S130)-110*SIN(Q130+R130)+148*SIN(Q130-R130)-55*SIN(2*T130-2*S130)</f>
        <v>1871.97243263005</v>
      </c>
      <c r="Q130" s="18" t="n">
        <f aca="false">2*PI()*(0.374897+1325.55241*M130 - INT(0.374897+1325.55241*M130))</f>
        <v>3.04554291492407</v>
      </c>
      <c r="R130" s="26" t="n">
        <f aca="false">2*PI()*(0.99312619+99.99735956*M130 - 0.00000044*M130^2 - INT(0.99312619+99.99735956*M130- 0.00000044*M130^2))</f>
        <v>4.92452977213179</v>
      </c>
      <c r="S130" s="26" t="n">
        <f aca="false">2*PI()*(0.827361+1236.853086*M130 - INT(0.827361+1236.853086*M130))</f>
        <v>4.5333332395533</v>
      </c>
      <c r="T130" s="26" t="n">
        <f aca="false">2*PI()*(0.259086+1342.227825*M130 - INT(0.259086+1342.227825*M130))</f>
        <v>1.06459700514739</v>
      </c>
      <c r="U130" s="26" t="n">
        <f aca="false">T130+(P130+412*SIN(2*T130)+541*SIN(R130))/206264.8062</f>
        <v>1.0728025720847</v>
      </c>
      <c r="V130" s="26" t="n">
        <f aca="false">T130-2*S130</f>
        <v>-8.00206947395921</v>
      </c>
      <c r="W130" s="25" t="n">
        <f aca="false">-526*SIN(V130)+44*SIN(Q130+V130)-31*SIN(-Q130+V130)-23*SIN(R130+V130)+11*SIN(-R130+V130)-25*SIN(-2*Q130+T130)+21*SIN(-Q130+T130)</f>
        <v>486.539818612389</v>
      </c>
      <c r="X130" s="26" t="n">
        <f aca="false">2*PI()*(O130+P130/1296000-INT(O130+P130/1296000))</f>
        <v>1.84565917658122</v>
      </c>
      <c r="Y130" s="26" t="n">
        <f aca="false">(18520*SIN(U130)+W130)/206264.8062</f>
        <v>0.0812409534435413</v>
      </c>
      <c r="Z130" s="26" t="n">
        <f aca="false">Y130*180/PI()</f>
        <v>4.65476375593373</v>
      </c>
      <c r="AA130" s="26" t="n">
        <f aca="false">COS(Y130)*COS(X130)</f>
        <v>-0.270519748255474</v>
      </c>
      <c r="AB130" s="26" t="n">
        <f aca="false">COS(Y130)*SIN(X130)</f>
        <v>0.959288007285789</v>
      </c>
      <c r="AC130" s="26" t="n">
        <f aca="false">SIN(Y130)</f>
        <v>0.0811516166287253</v>
      </c>
      <c r="AD130" s="26" t="n">
        <f aca="false">COS($A$4*(23.4393-46.815*M130/3600))*AB130-SIN($A$4*(23.4393-46.815*M130/3600))*AC130</f>
        <v>0.847872797953808</v>
      </c>
      <c r="AE130" s="26" t="n">
        <f aca="false">SIN($A$4*(23.4393-46.815*M130/3600))*AB130+COS($A$4*(23.4393-46.815*M130/3600))*AC130</f>
        <v>0.455994280988014</v>
      </c>
      <c r="AF130" s="26" t="n">
        <f aca="false">SQRT(1-AE130*AE130)</f>
        <v>0.889982705284897</v>
      </c>
      <c r="AG130" s="10" t="n">
        <f aca="false">ATAN(AE130/AF130)/$A$4</f>
        <v>27.1289262823849</v>
      </c>
      <c r="AH130" s="26" t="n">
        <f aca="false">IF(24*ATAN(AD130/(AA130+AF130))/PI()&gt;0,24*ATAN(AD130/(AA130+AF130))/PI(),24*ATAN(AD130/(AA130+AF130))/PI()+24)</f>
        <v>7.17970979035316</v>
      </c>
      <c r="AI130" s="10" t="n">
        <f aca="false">IF(N130-15*AH130&gt;0,N130-15*AH130,360+N130-15*AH130)</f>
        <v>277.786492346537</v>
      </c>
      <c r="AJ130" s="18" t="n">
        <f aca="false">0.950724+0.051818*COS(Q130)+0.009531*COS(2*S130-Q130)+0.007843*COS(2*S130)+0.002824*COS(2*Q130)+0.000857*COS(2*S130+Q130)+0.000533*COS(2*S130-R130)+0.000401*COS(2*S130-R130-Q130)+0.00032*COS(Q130-R130)-0.000271*COS(S130)</f>
        <v>0.904393737936341</v>
      </c>
      <c r="AK130" s="50" t="n">
        <f aca="false">ASIN(COS($A$4*$G$2)*COS($A$4*AG130)*COS($A$4*AI130)+SIN($A$4*$G$2)*SIN($A$4*AG130))/$A$4</f>
        <v>-3.85201919382511</v>
      </c>
      <c r="AL130" s="18" t="n">
        <f aca="false">ASIN((0.9983271+0.0016764*COS($A$4*2*$G$2))*COS($A$4*AK130)*SIN($A$4*AJ130))/$A$4</f>
        <v>0.90189167073022</v>
      </c>
      <c r="AM130" s="18" t="n">
        <f aca="false">AK130-AL130</f>
        <v>-4.75391086455533</v>
      </c>
      <c r="AN130" s="10" t="n">
        <f aca="false"> IF(280.4664567 + 360007.6982779*M130/10 + 0.03032028*M130^2/100 + M130^3/49931000&lt;0,MOD(280.4664567 + 360007.6982779*M130/10 + 0.03032028*M130^2/100 + M130^3/49931000+360,360),MOD(280.4664567 + 360007.6982779*M130/10 + 0.03032028*M130^2/100 + M130^3/49931000,360))</f>
        <v>205.487921633607</v>
      </c>
      <c r="AO130" s="27" t="n">
        <f aca="false"> AN130 + (1.9146 - 0.004817*M130 - 0.000014*M130^2)*SIN(R130)+ (0.019993 - 0.000101*M130)*SIN(2*R130)+ 0.00029*SIN(3*R130)</f>
        <v>203.609328575594</v>
      </c>
      <c r="AP130" s="18" t="n">
        <f aca="false">ACOS(COS(X130-$A$4*AO130)*COS(Y130))/$A$4</f>
        <v>97.8347573520293</v>
      </c>
      <c r="AQ130" s="25" t="n">
        <f aca="false">180 - AP130 -0.1468*(1-0.0549*SIN(R130))*SIN($A$4*AP130)/(1-0.0167*SIN($A$4*AO130))</f>
        <v>82.0130259469052</v>
      </c>
      <c r="AR130" s="25" t="n">
        <f aca="false">SIN($A$4*AI130)</f>
        <v>-0.990779808295549</v>
      </c>
      <c r="AS130" s="25" t="n">
        <f aca="false">COS($A$4*AI130)*SIN($A$4*$G$2) - TAN($A$4*AG130)*COS($A$4*$G$2)</f>
        <v>-0.524569736388371</v>
      </c>
      <c r="AT130" s="25" t="n">
        <f aca="false">IF(OR(AND(AR130*AS130&gt;0), AND(AR130&lt;0,AS130&gt;0)), MOD(ATAN2(AS130,AR130)/$A$4+360,360),  ATAN2(AS130,AR130)/$A$4)</f>
        <v>242.100956126335</v>
      </c>
      <c r="AU130" s="29" t="n">
        <f aca="false">(1+SIN($A$4*H130)*SIN($A$4*AJ130))*120*ASIN(0.272481*SIN($A$4*AJ130))/$A$4</f>
        <v>29.5317947362347</v>
      </c>
      <c r="AV130" s="10" t="n">
        <f aca="false">COS(X130)</f>
        <v>-0.271414937581105</v>
      </c>
      <c r="AW130" s="10" t="n">
        <f aca="false">SIN(X130)</f>
        <v>0.962462431296851</v>
      </c>
      <c r="AX130" s="30" t="n">
        <f aca="false"> 385000.56 + (-20905355*COS(Q130) - 3699111*COS(2*S130-Q130) - 2955968*COS(2*S130) - 569925*COS(2*Q130) + (1-0.002516*M130)*48888*COS(R130) - 3149*COS(2*T130)  +246158*COS(2*S130-2*Q130) -(1-0.002516*M130)*152138*COS(2*S130-R130-Q130) -170733*COS(2*S130+Q130) -(1-0.002516*M130)*204586*COS(2*S130-R130) -(1-0.002516*M130)*129620*COS(R130-Q130)  + 108743*COS(S130) +(1-0.002516*M130)*104755*COS(R130+Q130) +10321*COS(2*S130-2*T130) +79661*COS(Q130-2*T130) -34782*COS(4*S130-Q130) -23210*COS(3*Q130)  -21636*COS(4*S130-2*Q130) +(1-0.002516*M130)*24208*COS(2*S130+R130-Q130) +(1-0.002516*M130)*30824*COS(2*S130+R130) -8379*COS(S130-Q130) -(1-0.002516*M130)*16675*COS(S130+R130)  -(1-0.002516*M130)*12831*COS(2*S130-R130+Q130) -10445*COS(2*S130+2*Q130) -11650*COS(4*S130) +14403*COS(2*S130-3*Q130) -(1-0.002516*M130)*7003*COS(R130-2*Q130)  + (1-0.002516*M130)*10056*COS(2*S130-R130-2*Q130) +6322*COS(S130+Q130) -(1-0.002516*M130)*(1-0.002516*M130)*9884*COS(2*S130-2*R130) +(1-0.002516*M130)*5751*COS(R130+2*Q130) -(1-0.002516*M130)*(1-0.002516*M130)*4950*COS(2*S130-2*R130-Q130)  +4130*COS(2*S130+Q130-2*T130) -(1-0.002516*M130)*3958*COS(4*S130-R130-Q130) +3258*COS(3*S130-Q130) +(1-0.002516*M130)*2616*COS(2*S130+R130+Q130) -(1-0.002516*M130)*1897*COS(4*S130-R130-2*Q130)  -(1-0.002516*M130)*(1-0.002516*M130)*2117*COS(2*R130-Q130) +(1-0.002516*M130)*(1-0.002516*M130)*2354*COS(2*S130+2*R130-Q130) -1423*COS(4*S130+Q130) -1117*COS(4*Q130) -(1-0.002516*M130)*1571*COS(4*S130-R130)  -1739*COS(S130-2*Q130) -4421*COS(2*Q130-2*T130) +(1-0.002516*M130)*(1-0.002516*M130)*1165*COS(2*R130+Q130) +8752*COS(2*S130-Q130-2*T130))/1000</f>
        <v>404205.098323829</v>
      </c>
      <c r="AY130" s="10" t="n">
        <f aca="false">AY129+1/8</f>
        <v>17</v>
      </c>
      <c r="AZ130" s="17" t="n">
        <f aca="false">AZ129+1</f>
        <v>129</v>
      </c>
      <c r="BA130" s="32" t="n">
        <f aca="false">ATAN(0.99664719*TAN($A$4*input!$E$2))</f>
        <v>-0.400219206115995</v>
      </c>
      <c r="BB130" s="32" t="n">
        <f aca="false">COS(BA130)</f>
        <v>0.920975608992155</v>
      </c>
      <c r="BC130" s="32" t="n">
        <f aca="false">0.99664719*SIN(BA130)</f>
        <v>-0.388313912533463</v>
      </c>
      <c r="BD130" s="32" t="n">
        <f aca="false">6378.14/AX130</f>
        <v>0.0157794645006931</v>
      </c>
      <c r="BE130" s="33" t="n">
        <f aca="false">MOD(N130-15*AH130,360)</f>
        <v>277.786492346537</v>
      </c>
      <c r="BF130" s="27" t="n">
        <f aca="false">COS($A$4*AG130)*SIN($A$4*BE130)</f>
        <v>-0.881776894128525</v>
      </c>
      <c r="BG130" s="27" t="n">
        <f aca="false">COS($A$4*AG130)*COS($A$4*BE130)-BB130*BD130</f>
        <v>0.106044132156941</v>
      </c>
      <c r="BH130" s="27" t="n">
        <f aca="false">SIN($A$4*AG130)-BC130*BD130</f>
        <v>0.462121666585961</v>
      </c>
      <c r="BI130" s="46" t="n">
        <f aca="false">SQRT(BF130^2+BG130^2+BH130^2)</f>
        <v>1.00116546270437</v>
      </c>
      <c r="BJ130" s="35" t="n">
        <f aca="false">AX130*BI130</f>
        <v>404676.184290841</v>
      </c>
    </row>
    <row r="131" customFormat="false" ht="15" hidden="false" customHeight="false" outlineLevel="0" collapsed="false">
      <c r="A131" s="20"/>
      <c r="B131" s="20"/>
      <c r="C131" s="15" t="n">
        <f aca="false">MOD(C130+3,24)</f>
        <v>3</v>
      </c>
      <c r="D131" s="17" t="n">
        <v>17</v>
      </c>
      <c r="E131" s="102" t="n">
        <f aca="false">input!$C$2</f>
        <v>10</v>
      </c>
      <c r="F131" s="102" t="n">
        <f aca="false">input!$D$2</f>
        <v>2022</v>
      </c>
      <c r="H131" s="39" t="n">
        <f aca="false">AM131</f>
        <v>26.7308036833243</v>
      </c>
      <c r="I131" s="48" t="n">
        <f aca="false">H131+1.02/(TAN($A$4*(H131+10.3/(H131+5.11)))*60)</f>
        <v>26.7640900556106</v>
      </c>
      <c r="J131" s="39" t="n">
        <f aca="false">100*(1+COS($A$4*AQ131))/2</f>
        <v>55.7733545975443</v>
      </c>
      <c r="K131" s="48" t="n">
        <f aca="false">IF(AI131&gt;180,AT131-180,AT131+180)</f>
        <v>38.9675658662274</v>
      </c>
      <c r="L131" s="10" t="n">
        <f aca="false">L130+1/8</f>
        <v>2459869.625</v>
      </c>
      <c r="M131" s="49" t="n">
        <f aca="false">(L131-2451545)/36525</f>
        <v>0.227915811088296</v>
      </c>
      <c r="N131" s="15" t="n">
        <f aca="false">MOD(280.46061837+360.98564736629*(L131-2451545)+0.000387933*M131^2-M131^3/38710000+$G$4,360)</f>
        <v>70.6053451229818</v>
      </c>
      <c r="O131" s="18" t="n">
        <f aca="false">0.60643382+1336.85522467*M131 - 0.00000313*M131^2 - INT(0.60643382+1336.85522467*M131 - 0.00000313*M131^2)</f>
        <v>0.296876495699053</v>
      </c>
      <c r="P131" s="15" t="n">
        <f aca="false">22640*SIN(Q131)-4586*SIN(Q131-2*S131)+2370*SIN(2*S131)+769*SIN(2*Q131)-668*SIN(R131)-412*SIN(2*T131)-212*SIN(2*Q131-2*S131)-206*SIN(Q131+R131-2*S131)+192*SIN(Q131+2*S131)-165*SIN(R131-2*S131)-125*SIN(S131)-110*SIN(Q131+R131)+148*SIN(Q131-R131)-55*SIN(2*T131-2*S131)</f>
        <v>1288.00059871651</v>
      </c>
      <c r="Q131" s="18" t="n">
        <f aca="false">2*PI()*(0.374897+1325.55241*M131 - INT(0.374897+1325.55241*M131))</f>
        <v>3.07404630789623</v>
      </c>
      <c r="R131" s="26" t="n">
        <f aca="false">2*PI()*(0.99312619+99.99735956*M131 - 0.00000044*M131^2 - INT(0.99312619+99.99735956*M131- 0.00000044*M131^2))</f>
        <v>4.92668001832989</v>
      </c>
      <c r="S131" s="26" t="n">
        <f aca="false">2*PI()*(0.827361+1236.853086*M131 - INT(0.827361+1236.853086*M131))</f>
        <v>4.55992932831822</v>
      </c>
      <c r="T131" s="26" t="n">
        <f aca="false">2*PI()*(0.259086+1342.227825*M131 - INT(0.259086+1342.227825*M131))</f>
        <v>1.09345897006514</v>
      </c>
      <c r="U131" s="26" t="n">
        <f aca="false">T131+(P131+412*SIN(2*T131)+541*SIN(R131))/206264.8062</f>
        <v>1.09877067847853</v>
      </c>
      <c r="V131" s="26" t="n">
        <f aca="false">T131-2*S131</f>
        <v>-8.0263996865713</v>
      </c>
      <c r="W131" s="25" t="n">
        <f aca="false">-526*SIN(V131)+44*SIN(Q131+V131)-31*SIN(-Q131+V131)-23*SIN(R131+V131)+11*SIN(-R131+V131)-25*SIN(-2*Q131+T131)+21*SIN(-Q131+T131)</f>
        <v>484.11329653933</v>
      </c>
      <c r="X131" s="26" t="n">
        <f aca="false">2*PI()*(O131+P131/1296000-INT(O131+P131/1296000))</f>
        <v>1.8715744389386</v>
      </c>
      <c r="Y131" s="26" t="n">
        <f aca="false">(18520*SIN(U131)+W131)/206264.8062</f>
        <v>0.0823161954292748</v>
      </c>
      <c r="Z131" s="26" t="n">
        <f aca="false">Y131*180/PI()</f>
        <v>4.71637058367153</v>
      </c>
      <c r="AA131" s="26" t="n">
        <f aca="false">COS(Y131)*COS(X131)</f>
        <v>-0.295260308547281</v>
      </c>
      <c r="AB131" s="26" t="n">
        <f aca="false">COS(Y131)*SIN(X131)</f>
        <v>0.951872199863496</v>
      </c>
      <c r="AC131" s="26" t="n">
        <f aca="false">SIN(Y131)</f>
        <v>0.0822232650993241</v>
      </c>
      <c r="AD131" s="26" t="n">
        <f aca="false">COS($A$4*(23.4393-46.815*M131/3600))*AB131-SIN($A$4*(23.4393-46.815*M131/3600))*AC131</f>
        <v>0.840642549324835</v>
      </c>
      <c r="AE131" s="26" t="n">
        <f aca="false">SIN($A$4*(23.4393-46.815*M131/3600))*AB131+COS($A$4*(23.4393-46.815*M131/3600))*AC131</f>
        <v>0.454028032682131</v>
      </c>
      <c r="AF131" s="26" t="n">
        <f aca="false">SQRT(1-AE131*AE131)</f>
        <v>0.89098739920315</v>
      </c>
      <c r="AG131" s="10" t="n">
        <f aca="false">ATAN(AE131/AF131)/$A$4</f>
        <v>27.0024135651353</v>
      </c>
      <c r="AH131" s="26" t="n">
        <f aca="false">IF(24*ATAN(AD131/(AA131+AF131))/PI()&gt;0,24*ATAN(AD131/(AA131+AF131))/PI(),24*ATAN(AD131/(AA131+AF131))/PI()+24)</f>
        <v>7.29019276958142</v>
      </c>
      <c r="AI131" s="10" t="n">
        <f aca="false">IF(N131-15*AH131&gt;0,N131-15*AH131,360+N131-15*AH131)</f>
        <v>321.252453579261</v>
      </c>
      <c r="AJ131" s="18" t="n">
        <f aca="false">0.950724+0.051818*COS(Q131)+0.009531*COS(2*S131-Q131)+0.007843*COS(2*S131)+0.002824*COS(2*Q131)+0.000857*COS(2*S131+Q131)+0.000533*COS(2*S131-R131)+0.000401*COS(2*S131-R131-Q131)+0.00032*COS(Q131-R131)-0.000271*COS(S131)</f>
        <v>0.904265911459732</v>
      </c>
      <c r="AK131" s="50" t="n">
        <f aca="false">ASIN(COS($A$4*$G$2)*COS($A$4*AG131)*COS($A$4*AI131)+SIN($A$4*$G$2)*SIN($A$4*AG131))/$A$4</f>
        <v>27.5322474314211</v>
      </c>
      <c r="AL131" s="18" t="n">
        <f aca="false">ASIN((0.9983271+0.0016764*COS($A$4*2*$G$2))*COS($A$4*AK131)*SIN($A$4*AJ131))/$A$4</f>
        <v>0.801443748096802</v>
      </c>
      <c r="AM131" s="18" t="n">
        <f aca="false">AK131-AL131</f>
        <v>26.7308036833243</v>
      </c>
      <c r="AN131" s="10" t="n">
        <f aca="false"> IF(280.4664567 + 360007.6982779*M131/10 + 0.03032028*M131^2/100 + M131^3/49931000&lt;0,MOD(280.4664567 + 360007.6982779*M131/10 + 0.03032028*M131^2/100 + M131^3/49931000+360,360),MOD(280.4664567 + 360007.6982779*M131/10 + 0.03032028*M131^2/100 + M131^3/49931000,360))</f>
        <v>205.611127554093</v>
      </c>
      <c r="AO131" s="27" t="n">
        <f aca="false"> AN131 + (1.9146 - 0.004817*M131 - 0.000014*M131^2)*SIN(R131)+ (0.019993 - 0.000101*M131)*SIN(2*R131)+ 0.00029*SIN(3*R131)</f>
        <v>203.733325850497</v>
      </c>
      <c r="AP131" s="18" t="n">
        <f aca="false">ACOS(COS(X131-$A$4*AO131)*COS(Y131))/$A$4</f>
        <v>96.4779055728872</v>
      </c>
      <c r="AQ131" s="25" t="n">
        <f aca="false">180 - AP131 -0.1468*(1-0.0549*SIN(R131))*SIN($A$4*AP131)/(1-0.0167*SIN($A$4*AO131))</f>
        <v>83.3694330783167</v>
      </c>
      <c r="AR131" s="25" t="n">
        <f aca="false">SIN($A$4*AI131)</f>
        <v>-0.625890074588428</v>
      </c>
      <c r="AS131" s="25" t="n">
        <f aca="false">COS($A$4*AI131)*SIN($A$4*$G$2) - TAN($A$4*AG131)*COS($A$4*$G$2)</f>
        <v>-0.773805110108708</v>
      </c>
      <c r="AT131" s="25" t="n">
        <f aca="false">IF(OR(AND(AR131*AS131&gt;0), AND(AR131&lt;0,AS131&gt;0)), MOD(ATAN2(AS131,AR131)/$A$4+360,360),  ATAN2(AS131,AR131)/$A$4)</f>
        <v>218.967565866227</v>
      </c>
      <c r="AU131" s="29" t="n">
        <f aca="false">(1+SIN($A$4*H131)*SIN($A$4*AJ131))*120*ASIN(0.272481*SIN($A$4*AJ131))/$A$4</f>
        <v>29.7761772957252</v>
      </c>
      <c r="AV131" s="10" t="n">
        <f aca="false">COS(X131)</f>
        <v>-0.296263476047233</v>
      </c>
      <c r="AW131" s="10" t="n">
        <f aca="false">SIN(X131)</f>
        <v>0.955106252079009</v>
      </c>
      <c r="AX131" s="30" t="n">
        <f aca="false"> 385000.56 + (-20905355*COS(Q131) - 3699111*COS(2*S131-Q131) - 2955968*COS(2*S131) - 569925*COS(2*Q131) + (1-0.002516*M131)*48888*COS(R131) - 3149*COS(2*T131)  +246158*COS(2*S131-2*Q131) -(1-0.002516*M131)*152138*COS(2*S131-R131-Q131) -170733*COS(2*S131+Q131) -(1-0.002516*M131)*204586*COS(2*S131-R131) -(1-0.002516*M131)*129620*COS(R131-Q131)  + 108743*COS(S131) +(1-0.002516*M131)*104755*COS(R131+Q131) +10321*COS(2*S131-2*T131) +79661*COS(Q131-2*T131) -34782*COS(4*S131-Q131) -23210*COS(3*Q131)  -21636*COS(4*S131-2*Q131) +(1-0.002516*M131)*24208*COS(2*S131+R131-Q131) +(1-0.002516*M131)*30824*COS(2*S131+R131) -8379*COS(S131-Q131) -(1-0.002516*M131)*16675*COS(S131+R131)  -(1-0.002516*M131)*12831*COS(2*S131-R131+Q131) -10445*COS(2*S131+2*Q131) -11650*COS(4*S131) +14403*COS(2*S131-3*Q131) -(1-0.002516*M131)*7003*COS(R131-2*Q131)  + (1-0.002516*M131)*10056*COS(2*S131-R131-2*Q131) +6322*COS(S131+Q131) -(1-0.002516*M131)*(1-0.002516*M131)*9884*COS(2*S131-2*R131) +(1-0.002516*M131)*5751*COS(R131+2*Q131) -(1-0.002516*M131)*(1-0.002516*M131)*4950*COS(2*S131-2*R131-Q131)  +4130*COS(2*S131+Q131-2*T131) -(1-0.002516*M131)*3958*COS(4*S131-R131-Q131) +3258*COS(3*S131-Q131) +(1-0.002516*M131)*2616*COS(2*S131+R131+Q131) -(1-0.002516*M131)*1897*COS(4*S131-R131-2*Q131)  -(1-0.002516*M131)*(1-0.002516*M131)*2117*COS(2*R131-Q131) +(1-0.002516*M131)*(1-0.002516*M131)*2354*COS(2*S131+2*R131-Q131) -1423*COS(4*S131+Q131) -1117*COS(4*Q131) -(1-0.002516*M131)*1571*COS(4*S131-R131)  -1739*COS(S131-2*Q131) -4421*COS(2*Q131-2*T131) +(1-0.002516*M131)*(1-0.002516*M131)*1165*COS(2*R131+Q131) +8752*COS(2*S131-Q131-2*T131))/1000</f>
        <v>404265.592213922</v>
      </c>
      <c r="AY131" s="10" t="n">
        <f aca="false">AY130+1/8</f>
        <v>17.125</v>
      </c>
      <c r="AZ131" s="17" t="n">
        <f aca="false">AZ130+1</f>
        <v>130</v>
      </c>
      <c r="BA131" s="32" t="n">
        <f aca="false">ATAN(0.99664719*TAN($A$4*input!$E$2))</f>
        <v>-0.400219206115995</v>
      </c>
      <c r="BB131" s="32" t="n">
        <f aca="false">COS(BA131)</f>
        <v>0.920975608992155</v>
      </c>
      <c r="BC131" s="32" t="n">
        <f aca="false">0.99664719*SIN(BA131)</f>
        <v>-0.388313912533463</v>
      </c>
      <c r="BD131" s="32" t="n">
        <f aca="false">6378.14/AX131</f>
        <v>0.0157771032777505</v>
      </c>
      <c r="BE131" s="33" t="n">
        <f aca="false">MOD(N131-15*AH131,360)</f>
        <v>321.252453579261</v>
      </c>
      <c r="BF131" s="27" t="n">
        <f aca="false">COS($A$4*AG131)*SIN($A$4*BE131)</f>
        <v>-0.557660169744609</v>
      </c>
      <c r="BG131" s="27" t="n">
        <f aca="false">COS($A$4*AG131)*COS($A$4*BE131)-BB131*BD131</f>
        <v>0.680360801309439</v>
      </c>
      <c r="BH131" s="27" t="n">
        <f aca="false">SIN($A$4*AG131)-BC131*BD131</f>
        <v>0.460154501384359</v>
      </c>
      <c r="BI131" s="46" t="n">
        <f aca="false">SQRT(BF131^2+BG131^2+BH131^2)</f>
        <v>0.992782881612236</v>
      </c>
      <c r="BJ131" s="35" t="n">
        <f aca="false">AX131*BI131</f>
        <v>401347.959574815</v>
      </c>
    </row>
    <row r="132" customFormat="false" ht="15" hidden="false" customHeight="false" outlineLevel="0" collapsed="false">
      <c r="A132" s="20"/>
      <c r="B132" s="20"/>
      <c r="C132" s="15" t="n">
        <f aca="false">MOD(C131+3,24)</f>
        <v>6</v>
      </c>
      <c r="D132" s="17" t="n">
        <v>17</v>
      </c>
      <c r="E132" s="102" t="n">
        <f aca="false">input!$C$2</f>
        <v>10</v>
      </c>
      <c r="F132" s="102" t="n">
        <f aca="false">input!$D$2</f>
        <v>2022</v>
      </c>
      <c r="H132" s="39" t="n">
        <f aca="false">AM132</f>
        <v>39.2417947216287</v>
      </c>
      <c r="I132" s="48" t="n">
        <f aca="false">H132+1.02/(TAN($A$4*(H132+10.3/(H132+5.11)))*60)</f>
        <v>39.2624364268617</v>
      </c>
      <c r="J132" s="39" t="n">
        <f aca="false">100*(1+COS($A$4*AQ132))/2</f>
        <v>54.5962813071286</v>
      </c>
      <c r="K132" s="48" t="n">
        <f aca="false">IF(AI132&gt;180,AT132-180,AT132+180)</f>
        <v>354.502841601302</v>
      </c>
      <c r="L132" s="10" t="n">
        <f aca="false">L131+1/8</f>
        <v>2459869.75</v>
      </c>
      <c r="M132" s="49" t="n">
        <f aca="false">(L132-2451545)/36525</f>
        <v>0.22791923340178</v>
      </c>
      <c r="N132" s="15" t="n">
        <f aca="false">MOD(280.46061837+360.98564736629*(L132-2451545)+0.000387933*M132^2-M132^3/38710000+$G$4,360)</f>
        <v>115.728551044129</v>
      </c>
      <c r="O132" s="18" t="n">
        <f aca="false">0.60643382+1336.85522467*M132 - 0.00000313*M132^2 - INT(0.60643382+1336.85522467*M132 - 0.00000313*M132^2)</f>
        <v>0.301451633355612</v>
      </c>
      <c r="P132" s="15" t="n">
        <f aca="false">22640*SIN(Q132)-4586*SIN(Q132-2*S132)+2370*SIN(2*S132)+769*SIN(2*Q132)-668*SIN(R132)-412*SIN(2*T132)-212*SIN(2*Q132-2*S132)-206*SIN(Q132+R132-2*S132)+192*SIN(Q132+2*S132)-165*SIN(R132-2*S132)-125*SIN(S132)-110*SIN(Q132+R132)+148*SIN(Q132-R132)-55*SIN(2*T132-2*S132)</f>
        <v>703.742949189593</v>
      </c>
      <c r="Q132" s="18" t="n">
        <f aca="false">2*PI()*(0.374897+1325.55241*M132 - INT(0.374897+1325.55241*M132))</f>
        <v>3.10254970086803</v>
      </c>
      <c r="R132" s="26" t="n">
        <f aca="false">2*PI()*(0.99312619+99.99735956*M132 - 0.00000044*M132^2 - INT(0.99312619+99.99735956*M132- 0.00000044*M132^2))</f>
        <v>4.92883026452799</v>
      </c>
      <c r="S132" s="26" t="n">
        <f aca="false">2*PI()*(0.827361+1236.853086*M132 - INT(0.827361+1236.853086*M132))</f>
        <v>4.58652541708315</v>
      </c>
      <c r="T132" s="26" t="n">
        <f aca="false">2*PI()*(0.259086+1342.227825*M132 - INT(0.259086+1342.227825*M132))</f>
        <v>1.12232093498255</v>
      </c>
      <c r="U132" s="26" t="n">
        <f aca="false">T132+(P132+412*SIN(2*T132)+541*SIN(R132))/206264.8062</f>
        <v>1.12473198079132</v>
      </c>
      <c r="V132" s="26" t="n">
        <f aca="false">T132-2*S132</f>
        <v>-8.05072989918374</v>
      </c>
      <c r="W132" s="25" t="n">
        <f aca="false">-526*SIN(V132)+44*SIN(Q132+V132)-31*SIN(-Q132+V132)-23*SIN(R132+V132)+11*SIN(-R132+V132)-25*SIN(-2*Q132+T132)+21*SIN(-Q132+T132)</f>
        <v>481.486420366093</v>
      </c>
      <c r="X132" s="26" t="n">
        <f aca="false">2*PI()*(O132+P132/1296000-INT(O132+P132/1296000))</f>
        <v>1.89748831562278</v>
      </c>
      <c r="Y132" s="26" t="n">
        <f aca="false">(18520*SIN(U132)+W132)/206264.8062</f>
        <v>0.0833362789413485</v>
      </c>
      <c r="Z132" s="26" t="n">
        <f aca="false">Y132*180/PI()</f>
        <v>4.77481706366423</v>
      </c>
      <c r="AA132" s="26" t="n">
        <f aca="false">COS(Y132)*COS(X132)</f>
        <v>-0.319798031590848</v>
      </c>
      <c r="AB132" s="26" t="n">
        <f aca="false">COS(Y132)*SIN(X132)</f>
        <v>0.943822200469213</v>
      </c>
      <c r="AC132" s="26" t="n">
        <f aca="false">SIN(Y132)</f>
        <v>0.0832398515860762</v>
      </c>
      <c r="AD132" s="26" t="n">
        <f aca="false">COS($A$4*(23.4393-46.815*M132/3600))*AB132-SIN($A$4*(23.4393-46.815*M132/3600))*AC132</f>
        <v>0.832852327718619</v>
      </c>
      <c r="AE132" s="26" t="n">
        <f aca="false">SIN($A$4*(23.4393-46.815*M132/3600))*AB132+COS($A$4*(23.4393-46.815*M132/3600))*AC132</f>
        <v>0.451759027806083</v>
      </c>
      <c r="AF132" s="26" t="n">
        <f aca="false">SQRT(1-AE132*AE132)</f>
        <v>0.892140000670132</v>
      </c>
      <c r="AG132" s="10" t="n">
        <f aca="false">ATAN(AE132/AF132)/$A$4</f>
        <v>26.8565974748966</v>
      </c>
      <c r="AH132" s="26" t="n">
        <f aca="false">IF(24*ATAN(AD132/(AA132+AF132))/PI()&gt;0,24*ATAN(AD132/(AA132+AF132))/PI(),24*ATAN(AD132/(AA132+AF132))/PI()+24)</f>
        <v>7.4003836320974</v>
      </c>
      <c r="AI132" s="10" t="n">
        <f aca="false">IF(N132-15*AH132&gt;0,N132-15*AH132,360+N132-15*AH132)</f>
        <v>4.72279656266781</v>
      </c>
      <c r="AJ132" s="18" t="n">
        <f aca="false">0.950724+0.051818*COS(Q132)+0.009531*COS(2*S132-Q132)+0.007843*COS(2*S132)+0.002824*COS(2*Q132)+0.000857*COS(2*S132+Q132)+0.000533*COS(2*S132-R132)+0.000401*COS(2*S132-R132-Q132)+0.00032*COS(Q132-R132)-0.000271*COS(S132)</f>
        <v>0.90418181820944</v>
      </c>
      <c r="AK132" s="50" t="n">
        <f aca="false">ASIN(COS($A$4*$G$2)*COS($A$4*AG132)*COS($A$4*AI132)+SIN($A$4*$G$2)*SIN($A$4*AG132))/$A$4</f>
        <v>39.9347354321341</v>
      </c>
      <c r="AL132" s="18" t="n">
        <f aca="false">ASIN((0.9983271+0.0016764*COS($A$4*2*$G$2))*COS($A$4*AK132)*SIN($A$4*AJ132))/$A$4</f>
        <v>0.692940710505484</v>
      </c>
      <c r="AM132" s="18" t="n">
        <f aca="false">AK132-AL132</f>
        <v>39.2417947216287</v>
      </c>
      <c r="AN132" s="10" t="n">
        <f aca="false"> IF(280.4664567 + 360007.6982779*M132/10 + 0.03032028*M132^2/100 + M132^3/49931000&lt;0,MOD(280.4664567 + 360007.6982779*M132/10 + 0.03032028*M132^2/100 + M132^3/49931000+360,360),MOD(280.4664567 + 360007.6982779*M132/10 + 0.03032028*M132^2/100 + M132^3/49931000,360))</f>
        <v>205.73433347458</v>
      </c>
      <c r="AO132" s="27" t="n">
        <f aca="false"> AN132 + (1.9146 - 0.004817*M132 - 0.000014*M132^2)*SIN(R132)+ (0.019993 - 0.000101*M132)*SIN(2*R132)+ 0.00029*SIN(3*R132)</f>
        <v>203.857331914039</v>
      </c>
      <c r="AP132" s="18" t="n">
        <f aca="false">ACOS(COS(X132-$A$4*AO132)*COS(Y132))/$A$4</f>
        <v>95.1213764297323</v>
      </c>
      <c r="AQ132" s="25" t="n">
        <f aca="false">180 - AP132 -0.1468*(1-0.0549*SIN(R132))*SIN($A$4*AP132)/(1-0.0167*SIN($A$4*AO132))</f>
        <v>84.7256033392023</v>
      </c>
      <c r="AR132" s="25" t="n">
        <f aca="false">SIN($A$4*AI132)</f>
        <v>0.0823350393106711</v>
      </c>
      <c r="AS132" s="25" t="n">
        <f aca="false">COS($A$4*AI132)*SIN($A$4*$G$2) - TAN($A$4*AG132)*COS($A$4*$G$2)</f>
        <v>-0.855526813800231</v>
      </c>
      <c r="AT132" s="25" t="n">
        <f aca="false">IF(OR(AND(AR132*AS132&gt;0), AND(AR132&lt;0,AS132&gt;0)), MOD(ATAN2(AS132,AR132)/$A$4+360,360),  ATAN2(AS132,AR132)/$A$4)</f>
        <v>174.502841601302</v>
      </c>
      <c r="AU132" s="29" t="n">
        <f aca="false">(1+SIN($A$4*H132)*SIN($A$4*AJ132))*120*ASIN(0.272481*SIN($A$4*AJ132))/$A$4</f>
        <v>29.8586668097974</v>
      </c>
      <c r="AV132" s="10" t="n">
        <f aca="false">COS(X132)</f>
        <v>-0.320911742471114</v>
      </c>
      <c r="AW132" s="10" t="n">
        <f aca="false">SIN(X132)</f>
        <v>0.947109103294944</v>
      </c>
      <c r="AX132" s="30" t="n">
        <f aca="false"> 385000.56 + (-20905355*COS(Q132) - 3699111*COS(2*S132-Q132) - 2955968*COS(2*S132) - 569925*COS(2*Q132) + (1-0.002516*M132)*48888*COS(R132) - 3149*COS(2*T132)  +246158*COS(2*S132-2*Q132) -(1-0.002516*M132)*152138*COS(2*S132-R132-Q132) -170733*COS(2*S132+Q132) -(1-0.002516*M132)*204586*COS(2*S132-R132) -(1-0.002516*M132)*129620*COS(R132-Q132)  + 108743*COS(S132) +(1-0.002516*M132)*104755*COS(R132+Q132) +10321*COS(2*S132-2*T132) +79661*COS(Q132-2*T132) -34782*COS(4*S132-Q132) -23210*COS(3*Q132)  -21636*COS(4*S132-2*Q132) +(1-0.002516*M132)*24208*COS(2*S132+R132-Q132) +(1-0.002516*M132)*30824*COS(2*S132+R132) -8379*COS(S132-Q132) -(1-0.002516*M132)*16675*COS(S132+R132)  -(1-0.002516*M132)*12831*COS(2*S132-R132+Q132) -10445*COS(2*S132+2*Q132) -11650*COS(4*S132) +14403*COS(2*S132-3*Q132) -(1-0.002516*M132)*7003*COS(R132-2*Q132)  + (1-0.002516*M132)*10056*COS(2*S132-R132-2*Q132) +6322*COS(S132+Q132) -(1-0.002516*M132)*(1-0.002516*M132)*9884*COS(2*S132-2*R132) +(1-0.002516*M132)*5751*COS(R132+2*Q132) -(1-0.002516*M132)*(1-0.002516*M132)*4950*COS(2*S132-2*R132-Q132)  +4130*COS(2*S132+Q132-2*T132) -(1-0.002516*M132)*3958*COS(4*S132-R132-Q132) +3258*COS(3*S132-Q132) +(1-0.002516*M132)*2616*COS(2*S132+R132+Q132) -(1-0.002516*M132)*1897*COS(4*S132-R132-2*Q132)  -(1-0.002516*M132)*(1-0.002516*M132)*2117*COS(2*R132-Q132) +(1-0.002516*M132)*(1-0.002516*M132)*2354*COS(2*S132+2*R132-Q132) -1423*COS(4*S132+Q132) -1117*COS(4*Q132) -(1-0.002516*M132)*1571*COS(4*S132-R132)  -1739*COS(S132-2*Q132) -4421*COS(2*Q132-2*T132) +(1-0.002516*M132)*(1-0.002516*M132)*1165*COS(2*R132+Q132) +8752*COS(2*S132-Q132-2*T132))/1000</f>
        <v>404305.70698929</v>
      </c>
      <c r="AY132" s="10" t="n">
        <f aca="false">AY131+1/8</f>
        <v>17.25</v>
      </c>
      <c r="AZ132" s="17" t="n">
        <f aca="false">AZ131+1</f>
        <v>131</v>
      </c>
      <c r="BA132" s="32" t="n">
        <f aca="false">ATAN(0.99664719*TAN($A$4*input!$E$2))</f>
        <v>-0.400219206115995</v>
      </c>
      <c r="BB132" s="32" t="n">
        <f aca="false">COS(BA132)</f>
        <v>0.920975608992155</v>
      </c>
      <c r="BC132" s="32" t="n">
        <f aca="false">0.99664719*SIN(BA132)</f>
        <v>-0.388313912533463</v>
      </c>
      <c r="BD132" s="32" t="n">
        <f aca="false">6378.14/AX132</f>
        <v>0.0157755378906115</v>
      </c>
      <c r="BE132" s="33" t="n">
        <f aca="false">MOD(N132-15*AH132,360)</f>
        <v>4.72279656266781</v>
      </c>
      <c r="BF132" s="27" t="n">
        <f aca="false">COS($A$4*AG132)*SIN($A$4*BE132)</f>
        <v>0.0734543820257975</v>
      </c>
      <c r="BG132" s="27" t="n">
        <f aca="false">COS($A$4*AG132)*COS($A$4*BE132)-BB132*BD132</f>
        <v>0.874582038035789</v>
      </c>
      <c r="BH132" s="27" t="n">
        <f aca="false">SIN($A$4*AG132)-BC132*BD132</f>
        <v>0.457884888646706</v>
      </c>
      <c r="BI132" s="46" t="n">
        <f aca="false">SQRT(BF132^2+BG132^2+BH132^2)</f>
        <v>0.98992315799997</v>
      </c>
      <c r="BJ132" s="35" t="n">
        <f aca="false">AX132*BI132</f>
        <v>400231.582260249</v>
      </c>
    </row>
    <row r="133" customFormat="false" ht="15" hidden="false" customHeight="false" outlineLevel="0" collapsed="false">
      <c r="A133" s="20"/>
      <c r="B133" s="20"/>
      <c r="C133" s="15" t="n">
        <f aca="false">MOD(C132+3,24)</f>
        <v>9</v>
      </c>
      <c r="D133" s="17" t="n">
        <v>17</v>
      </c>
      <c r="E133" s="102" t="n">
        <f aca="false">input!$C$2</f>
        <v>10</v>
      </c>
      <c r="F133" s="102" t="n">
        <f aca="false">input!$D$2</f>
        <v>2022</v>
      </c>
      <c r="H133" s="39" t="n">
        <f aca="false">AM133</f>
        <v>21.0421539736628</v>
      </c>
      <c r="I133" s="48" t="n">
        <f aca="false">H133+1.02/(TAN($A$4*(H133+10.3/(H133+5.11)))*60)</f>
        <v>21.0854527527312</v>
      </c>
      <c r="J133" s="39" t="n">
        <f aca="false">100*(1+COS($A$4*AQ133))/2</f>
        <v>53.4167054652454</v>
      </c>
      <c r="K133" s="48" t="n">
        <f aca="false">IF(AI133&gt;180,AT133-180,AT133+180)</f>
        <v>314.133704875679</v>
      </c>
      <c r="L133" s="10" t="n">
        <f aca="false">L132+1/8</f>
        <v>2459869.875</v>
      </c>
      <c r="M133" s="49" t="n">
        <f aca="false">(L133-2451545)/36525</f>
        <v>0.227922655715264</v>
      </c>
      <c r="N133" s="15" t="n">
        <f aca="false">MOD(280.46061837+360.98564736629*(L133-2451545)+0.000387933*M133^2-M133^3/38710000+$G$4,360)</f>
        <v>160.851756965276</v>
      </c>
      <c r="O133" s="18" t="n">
        <f aca="false">0.60643382+1336.85522467*M133 - 0.00000313*M133^2 - INT(0.60643382+1336.85522467*M133 - 0.00000313*M133^2)</f>
        <v>0.306026771012171</v>
      </c>
      <c r="P133" s="15" t="n">
        <f aca="false">22640*SIN(Q133)-4586*SIN(Q133-2*S133)+2370*SIN(2*S133)+769*SIN(2*Q133)-668*SIN(R133)-412*SIN(2*T133)-212*SIN(2*Q133-2*S133)-206*SIN(Q133+R133-2*S133)+192*SIN(Q133+2*S133)-165*SIN(R133-2*S133)-125*SIN(S133)-110*SIN(Q133+R133)+148*SIN(Q133-R133)-55*SIN(2*T133-2*S133)</f>
        <v>119.71968862143</v>
      </c>
      <c r="Q133" s="18" t="n">
        <f aca="false">2*PI()*(0.374897+1325.55241*M133 - INT(0.374897+1325.55241*M133))</f>
        <v>3.13105309383983</v>
      </c>
      <c r="R133" s="26" t="n">
        <f aca="false">2*PI()*(0.99312619+99.99735956*M133 - 0.00000044*M133^2 - INT(0.99312619+99.99735956*M133- 0.00000044*M133^2))</f>
        <v>4.93098051072608</v>
      </c>
      <c r="S133" s="26" t="n">
        <f aca="false">2*PI()*(0.827361+1236.853086*M133 - INT(0.827361+1236.853086*M133))</f>
        <v>4.61312150584807</v>
      </c>
      <c r="T133" s="26" t="n">
        <f aca="false">2*PI()*(0.259086+1342.227825*M133 - INT(0.259086+1342.227825*M133))</f>
        <v>1.15118289990031</v>
      </c>
      <c r="U133" s="26" t="n">
        <f aca="false">T133+(P133+412*SIN(2*T133)+541*SIN(R133))/206264.8062</f>
        <v>1.15068923191102</v>
      </c>
      <c r="V133" s="26" t="n">
        <f aca="false">T133-2*S133</f>
        <v>-8.07506011179583</v>
      </c>
      <c r="W133" s="25" t="n">
        <f aca="false">-526*SIN(V133)+44*SIN(Q133+V133)-31*SIN(-Q133+V133)-23*SIN(R133+V133)+11*SIN(-R133+V133)-25*SIN(-2*Q133+T133)+21*SIN(-Q133+T133)</f>
        <v>478.660225902986</v>
      </c>
      <c r="X133" s="26" t="n">
        <f aca="false">2*PI()*(O133+P133/1296000-INT(O133+P133/1296000))</f>
        <v>1.9234033286567</v>
      </c>
      <c r="Y133" s="26" t="n">
        <f aca="false">(18520*SIN(U133)+W133)/206264.8062</f>
        <v>0.0843006563887199</v>
      </c>
      <c r="Z133" s="26" t="n">
        <f aca="false">Y133*180/PI()</f>
        <v>4.83007182125621</v>
      </c>
      <c r="AA133" s="26" t="n">
        <f aca="false">COS(Y133)*COS(X133)</f>
        <v>-0.344119195809381</v>
      </c>
      <c r="AB133" s="26" t="n">
        <f aca="false">COS(Y133)*SIN(X133)</f>
        <v>0.935142875209711</v>
      </c>
      <c r="AC133" s="26" t="n">
        <f aca="false">SIN(Y133)</f>
        <v>0.084200843345066</v>
      </c>
      <c r="AD133" s="26" t="n">
        <f aca="false">COS($A$4*(23.4393-46.815*M133/3600))*AB133-SIN($A$4*(23.4393-46.815*M133/3600))*AC133</f>
        <v>0.824506809688102</v>
      </c>
      <c r="AE133" s="26" t="n">
        <f aca="false">SIN($A$4*(23.4393-46.815*M133/3600))*AB133+COS($A$4*(23.4393-46.815*M133/3600))*AC133</f>
        <v>0.449188712963108</v>
      </c>
      <c r="AF133" s="26" t="n">
        <f aca="false">SQRT(1-AE133*AE133)</f>
        <v>0.893436903282233</v>
      </c>
      <c r="AG133" s="10" t="n">
        <f aca="false">ATAN(AE133/AF133)/$A$4</f>
        <v>26.6916445227418</v>
      </c>
      <c r="AH133" s="26" t="n">
        <f aca="false">IF(24*ATAN(AD133/(AA133+AF133))/PI()&gt;0,24*ATAN(AD133/(AA133+AF133))/PI(),24*ATAN(AD133/(AA133+AF133))/PI()+24)</f>
        <v>7.5102589826198</v>
      </c>
      <c r="AI133" s="10" t="n">
        <f aca="false">IF(N133-15*AH133&gt;0,N133-15*AH133,360+N133-15*AH133)</f>
        <v>48.1978722259789</v>
      </c>
      <c r="AJ133" s="18" t="n">
        <f aca="false">0.950724+0.051818*COS(Q133)+0.009531*COS(2*S133-Q133)+0.007843*COS(2*S133)+0.002824*COS(2*Q133)+0.000857*COS(2*S133+Q133)+0.000533*COS(2*S133-R133)+0.000401*COS(2*S133-R133-Q133)+0.00032*COS(Q133-R133)-0.000271*COS(S133)</f>
        <v>0.904141547807792</v>
      </c>
      <c r="AK133" s="50" t="n">
        <f aca="false">ASIN(COS($A$4*$G$2)*COS($A$4*AG133)*COS($A$4*AI133)+SIN($A$4*$G$2)*SIN($A$4*AG133))/$A$4</f>
        <v>21.8807312502875</v>
      </c>
      <c r="AL133" s="18" t="n">
        <f aca="false">ASIN((0.9983271+0.0016764*COS($A$4*2*$G$2))*COS($A$4*AK133)*SIN($A$4*AJ133))/$A$4</f>
        <v>0.838577276624714</v>
      </c>
      <c r="AM133" s="18" t="n">
        <f aca="false">AK133-AL133</f>
        <v>21.0421539736628</v>
      </c>
      <c r="AN133" s="10" t="n">
        <f aca="false"> IF(280.4664567 + 360007.6982779*M133/10 + 0.03032028*M133^2/100 + M133^3/49931000&lt;0,MOD(280.4664567 + 360007.6982779*M133/10 + 0.03032028*M133^2/100 + M133^3/49931000+360,360),MOD(280.4664567 + 360007.6982779*M133/10 + 0.03032028*M133^2/100 + M133^3/49931000,360))</f>
        <v>205.857539395065</v>
      </c>
      <c r="AO133" s="27" t="n">
        <f aca="false"> AN133 + (1.9146 - 0.004817*M133 - 0.000014*M133^2)*SIN(R133)+ (0.019993 - 0.000101*M133)*SIN(2*R133)+ 0.00029*SIN(3*R133)</f>
        <v>203.981346763644</v>
      </c>
      <c r="AP133" s="18" t="n">
        <f aca="false">ACOS(COS(X133-$A$4*AO133)*COS(Y133))/$A$4</f>
        <v>93.7650163171678</v>
      </c>
      <c r="AQ133" s="25" t="n">
        <f aca="false">180 - AP133 -0.1468*(1-0.0549*SIN(R133))*SIN($A$4*AP133)/(1-0.0167*SIN($A$4*AO133))</f>
        <v>86.081690438387</v>
      </c>
      <c r="AR133" s="25" t="n">
        <f aca="false">SIN($A$4*AI133)</f>
        <v>0.745451246377483</v>
      </c>
      <c r="AS133" s="25" t="n">
        <f aca="false">COS($A$4*AI133)*SIN($A$4*$G$2) - TAN($A$4*AG133)*COS($A$4*$G$2)</f>
        <v>-0.723243329439727</v>
      </c>
      <c r="AT133" s="25" t="n">
        <f aca="false">IF(OR(AND(AR133*AS133&gt;0), AND(AR133&lt;0,AS133&gt;0)), MOD(ATAN2(AS133,AR133)/$A$4+360,360),  ATAN2(AS133,AR133)/$A$4)</f>
        <v>134.133704875679</v>
      </c>
      <c r="AU133" s="29" t="n">
        <f aca="false">(1+SIN($A$4*H133)*SIN($A$4*AJ133))*120*ASIN(0.272481*SIN($A$4*AJ133))/$A$4</f>
        <v>29.7297231358782</v>
      </c>
      <c r="AV133" s="10" t="n">
        <f aca="false">COS(X133)</f>
        <v>-0.345345585848012</v>
      </c>
      <c r="AW133" s="10" t="n">
        <f aca="false">SIN(X133)</f>
        <v>0.938475586435414</v>
      </c>
      <c r="AX133" s="30" t="n">
        <f aca="false"> 385000.56 + (-20905355*COS(Q133) - 3699111*COS(2*S133-Q133) - 2955968*COS(2*S133) - 569925*COS(2*Q133) + (1-0.002516*M133)*48888*COS(R133) - 3149*COS(2*T133)  +246158*COS(2*S133-2*Q133) -(1-0.002516*M133)*152138*COS(2*S133-R133-Q133) -170733*COS(2*S133+Q133) -(1-0.002516*M133)*204586*COS(2*S133-R133) -(1-0.002516*M133)*129620*COS(R133-Q133)  + 108743*COS(S133) +(1-0.002516*M133)*104755*COS(R133+Q133) +10321*COS(2*S133-2*T133) +79661*COS(Q133-2*T133) -34782*COS(4*S133-Q133) -23210*COS(3*Q133)  -21636*COS(4*S133-2*Q133) +(1-0.002516*M133)*24208*COS(2*S133+R133-Q133) +(1-0.002516*M133)*30824*COS(2*S133+R133) -8379*COS(S133-Q133) -(1-0.002516*M133)*16675*COS(S133+R133)  -(1-0.002516*M133)*12831*COS(2*S133-R133+Q133) -10445*COS(2*S133+2*Q133) -11650*COS(4*S133) +14403*COS(2*S133-3*Q133) -(1-0.002516*M133)*7003*COS(R133-2*Q133)  + (1-0.002516*M133)*10056*COS(2*S133-R133-2*Q133) +6322*COS(S133+Q133) -(1-0.002516*M133)*(1-0.002516*M133)*9884*COS(2*S133-2*R133) +(1-0.002516*M133)*5751*COS(R133+2*Q133) -(1-0.002516*M133)*(1-0.002516*M133)*4950*COS(2*S133-2*R133-Q133)  +4130*COS(2*S133+Q133-2*T133) -(1-0.002516*M133)*3958*COS(4*S133-R133-Q133) +3258*COS(3*S133-Q133) +(1-0.002516*M133)*2616*COS(2*S133+R133+Q133) -(1-0.002516*M133)*1897*COS(4*S133-R133-2*Q133)  -(1-0.002516*M133)*(1-0.002516*M133)*2117*COS(2*R133-Q133) +(1-0.002516*M133)*(1-0.002516*M133)*2354*COS(2*S133+2*R133-Q133) -1423*COS(4*S133+Q133) -1117*COS(4*Q133) -(1-0.002516*M133)*1571*COS(4*S133-R133)  -1739*COS(S133-2*Q133) -4421*COS(2*Q133-2*T133) +(1-0.002516*M133)*(1-0.002516*M133)*1165*COS(2*R133+Q133) +8752*COS(2*S133-Q133-2*T133))/1000</f>
        <v>404325.360487825</v>
      </c>
      <c r="AY133" s="10" t="n">
        <f aca="false">AY132+1/8</f>
        <v>17.375</v>
      </c>
      <c r="AZ133" s="17" t="n">
        <f aca="false">AZ132+1</f>
        <v>132</v>
      </c>
      <c r="BA133" s="32" t="n">
        <f aca="false">ATAN(0.99664719*TAN($A$4*input!$E$2))</f>
        <v>-0.400219206115995</v>
      </c>
      <c r="BB133" s="32" t="n">
        <f aca="false">COS(BA133)</f>
        <v>0.920975608992155</v>
      </c>
      <c r="BC133" s="32" t="n">
        <f aca="false">0.99664719*SIN(BA133)</f>
        <v>-0.388313912533463</v>
      </c>
      <c r="BD133" s="32" t="n">
        <f aca="false">6378.14/AX133</f>
        <v>0.0157747710712597</v>
      </c>
      <c r="BE133" s="33" t="n">
        <f aca="false">MOD(N133-15*AH133,360)</f>
        <v>48.1978722259789</v>
      </c>
      <c r="BF133" s="27" t="n">
        <f aca="false">COS($A$4*AG133)*SIN($A$4*BE133)</f>
        <v>0.666013653111379</v>
      </c>
      <c r="BG133" s="27" t="n">
        <f aca="false">COS($A$4*AG133)*COS($A$4*BE133)-BB133*BD133</f>
        <v>0.581001260697507</v>
      </c>
      <c r="BH133" s="27" t="n">
        <f aca="false">SIN($A$4*AG133)-BC133*BD133</f>
        <v>0.455314276037109</v>
      </c>
      <c r="BI133" s="46" t="n">
        <f aca="false">SQRT(BF133^2+BG133^2+BH133^2)</f>
        <v>0.994207091619273</v>
      </c>
      <c r="BJ133" s="35" t="n">
        <f aca="false">AX133*BI133</f>
        <v>401983.140718514</v>
      </c>
    </row>
    <row r="134" customFormat="false" ht="15" hidden="false" customHeight="false" outlineLevel="0" collapsed="false">
      <c r="A134" s="20"/>
      <c r="B134" s="20"/>
      <c r="C134" s="15" t="n">
        <f aca="false">MOD(C133+3,24)</f>
        <v>12</v>
      </c>
      <c r="D134" s="17" t="n">
        <v>17</v>
      </c>
      <c r="E134" s="102" t="n">
        <f aca="false">input!$C$2</f>
        <v>10</v>
      </c>
      <c r="F134" s="102" t="n">
        <f aca="false">input!$D$2</f>
        <v>2022</v>
      </c>
      <c r="H134" s="39" t="n">
        <f aca="false">AM134</f>
        <v>-12.3356430727142</v>
      </c>
      <c r="I134" s="48" t="n">
        <f aca="false">H134+1.02/(TAN($A$4*(H134+10.3/(H134+5.11)))*60)</f>
        <v>-12.4050579742318</v>
      </c>
      <c r="J134" s="39" t="n">
        <f aca="false">100*(1+COS($A$4*AQ134))/2</f>
        <v>52.2351543785736</v>
      </c>
      <c r="K134" s="48" t="n">
        <f aca="false">IF(AI134&gt;180,AT134-180,AT134+180)</f>
        <v>294.12533337795</v>
      </c>
      <c r="L134" s="10" t="n">
        <f aca="false">L133+1/8</f>
        <v>2459870</v>
      </c>
      <c r="M134" s="49" t="n">
        <f aca="false">(L134-2451545)/36525</f>
        <v>0.227926078028747</v>
      </c>
      <c r="N134" s="15" t="n">
        <f aca="false">MOD(280.46061837+360.98564736629*(L134-2451545)+0.000387933*M134^2-M134^3/38710000+$G$4,360)</f>
        <v>205.974962887354</v>
      </c>
      <c r="O134" s="18" t="n">
        <f aca="false">0.60643382+1336.85522467*M134 - 0.00000313*M134^2 - INT(0.60643382+1336.85522467*M134 - 0.00000313*M134^2)</f>
        <v>0.31060190866873</v>
      </c>
      <c r="P134" s="15" t="n">
        <f aca="false">22640*SIN(Q134)-4586*SIN(Q134-2*S134)+2370*SIN(2*S134)+769*SIN(2*Q134)-668*SIN(R134)-412*SIN(2*T134)-212*SIN(2*Q134-2*S134)-206*SIN(Q134+R134-2*S134)+192*SIN(Q134+2*S134)-165*SIN(R134-2*S134)-125*SIN(S134)-110*SIN(Q134+R134)+148*SIN(Q134-R134)-55*SIN(2*T134-2*S134)</f>
        <v>-463.551739341143</v>
      </c>
      <c r="Q134" s="18" t="n">
        <f aca="false">2*PI()*(0.374897+1325.55241*M134 - INT(0.374897+1325.55241*M134))</f>
        <v>3.15955648681198</v>
      </c>
      <c r="R134" s="26" t="n">
        <f aca="false">2*PI()*(0.99312619+99.99735956*M134 - 0.00000044*M134^2 - INT(0.99312619+99.99735956*M134- 0.00000044*M134^2))</f>
        <v>4.93313075692416</v>
      </c>
      <c r="S134" s="26" t="n">
        <f aca="false">2*PI()*(0.827361+1236.853086*M134 - INT(0.827361+1236.853086*M134))</f>
        <v>4.63971759461263</v>
      </c>
      <c r="T134" s="26" t="n">
        <f aca="false">2*PI()*(0.259086+1342.227825*M134 - INT(0.259086+1342.227825*M134))</f>
        <v>1.18004486481771</v>
      </c>
      <c r="U134" s="26" t="n">
        <f aca="false">T134+(P134+412*SIN(2*T134)+541*SIN(R134))/206264.8062</f>
        <v>1.17664518865855</v>
      </c>
      <c r="V134" s="26" t="n">
        <f aca="false">T134-2*S134</f>
        <v>-8.09939032440756</v>
      </c>
      <c r="W134" s="25" t="n">
        <f aca="false">-526*SIN(V134)+44*SIN(Q134+V134)-31*SIN(-Q134+V134)-23*SIN(R134+V134)+11*SIN(-R134+V134)-25*SIN(-2*Q134+T134)+21*SIN(-Q134+T134)</f>
        <v>475.635674596025</v>
      </c>
      <c r="X134" s="26" t="n">
        <f aca="false">2*PI()*(O134+P134/1296000-INT(O134+P134/1296000))</f>
        <v>1.94932198667795</v>
      </c>
      <c r="Y134" s="26" t="n">
        <f aca="false">(18520*SIN(U134)+W134)/206264.8062</f>
        <v>0.0852087942215421</v>
      </c>
      <c r="Z134" s="26" t="n">
        <f aca="false">Y134*180/PI()</f>
        <v>4.88210428629308</v>
      </c>
      <c r="AA134" s="26" t="n">
        <f aca="false">COS(Y134)*COS(X134)</f>
        <v>-0.368210141477211</v>
      </c>
      <c r="AB134" s="26" t="n">
        <f aca="false">COS(Y134)*SIN(X134)</f>
        <v>0.925839245174708</v>
      </c>
      <c r="AC134" s="26" t="n">
        <f aca="false">SIN(Y134)</f>
        <v>0.0851057213567864</v>
      </c>
      <c r="AD134" s="26" t="n">
        <f aca="false">COS($A$4*(23.4393-46.815*M134/3600))*AB134-SIN($A$4*(23.4393-46.815*M134/3600))*AC134</f>
        <v>0.81561080852488</v>
      </c>
      <c r="AE134" s="26" t="n">
        <f aca="false">SIN($A$4*(23.4393-46.815*M134/3600))*AB134+COS($A$4*(23.4393-46.815*M134/3600))*AC134</f>
        <v>0.44631860898995</v>
      </c>
      <c r="AF134" s="26" t="n">
        <f aca="false">SQRT(1-AE134*AE134)</f>
        <v>0.894874124818276</v>
      </c>
      <c r="AG134" s="10" t="n">
        <f aca="false">ATAN(AE134/AF134)/$A$4</f>
        <v>26.5077338934938</v>
      </c>
      <c r="AH134" s="26" t="n">
        <f aca="false">IF(24*ATAN(AD134/(AA134+AF134))/PI()&gt;0,24*ATAN(AD134/(AA134+AF134))/PI(),24*ATAN(AD134/(AA134+AF134))/PI()+24)</f>
        <v>7.61979669704004</v>
      </c>
      <c r="AI134" s="10" t="n">
        <f aca="false">IF(N134-15*AH134&gt;0,N134-15*AH134,360+N134-15*AH134)</f>
        <v>91.6780124317535</v>
      </c>
      <c r="AJ134" s="18" t="n">
        <f aca="false">0.950724+0.051818*COS(Q134)+0.009531*COS(2*S134-Q134)+0.007843*COS(2*S134)+0.002824*COS(2*Q134)+0.000857*COS(2*S134+Q134)+0.000533*COS(2*S134-R134)+0.000401*COS(2*S134-R134-Q134)+0.00032*COS(Q134-R134)-0.000271*COS(S134)</f>
        <v>0.904145163023703</v>
      </c>
      <c r="AK134" s="50" t="n">
        <f aca="false">ASIN(COS($A$4*$G$2)*COS($A$4*AG134)*COS($A$4*AI134)+SIN($A$4*$G$2)*SIN($A$4*AG134))/$A$4</f>
        <v>-11.449943729146</v>
      </c>
      <c r="AL134" s="18" t="n">
        <f aca="false">ASIN((0.9983271+0.0016764*COS($A$4*2*$G$2))*COS($A$4*AK134)*SIN($A$4*AJ134))/$A$4</f>
        <v>0.885699343568136</v>
      </c>
      <c r="AM134" s="18" t="n">
        <f aca="false">AK134-AL134</f>
        <v>-12.3356430727142</v>
      </c>
      <c r="AN134" s="10" t="n">
        <f aca="false"> IF(280.4664567 + 360007.6982779*M134/10 + 0.03032028*M134^2/100 + M134^3/49931000&lt;0,MOD(280.4664567 + 360007.6982779*M134/10 + 0.03032028*M134^2/100 + M134^3/49931000+360,360),MOD(280.4664567 + 360007.6982779*M134/10 + 0.03032028*M134^2/100 + M134^3/49931000,360))</f>
        <v>205.980745315552</v>
      </c>
      <c r="AO134" s="27" t="n">
        <f aca="false"> AN134 + (1.9146 - 0.004817*M134 - 0.000014*M134^2)*SIN(R134)+ (0.019993 - 0.000101*M134)*SIN(2*R134)+ 0.00029*SIN(3*R134)</f>
        <v>204.105370396698</v>
      </c>
      <c r="AP134" s="18" t="n">
        <f aca="false">ACOS(COS(X134-$A$4*AO134)*COS(Y134))/$A$4</f>
        <v>92.4086717906884</v>
      </c>
      <c r="AQ134" s="25" t="n">
        <f aca="false">180 - AP134 -0.1468*(1-0.0549*SIN(R134))*SIN($A$4*AP134)/(1-0.0167*SIN($A$4*AO134))</f>
        <v>87.4378479143302</v>
      </c>
      <c r="AR134" s="25" t="n">
        <f aca="false">SIN($A$4*AI134)</f>
        <v>0.999571171100546</v>
      </c>
      <c r="AS134" s="25" t="n">
        <f aca="false">COS($A$4*AI134)*SIN($A$4*$G$2) - TAN($A$4*AG134)*COS($A$4*$G$2)</f>
        <v>-0.447660293911905</v>
      </c>
      <c r="AT134" s="25" t="n">
        <f aca="false">IF(OR(AND(AR134*AS134&gt;0), AND(AR134&lt;0,AS134&gt;0)), MOD(ATAN2(AS134,AR134)/$A$4+360,360),  ATAN2(AS134,AR134)/$A$4)</f>
        <v>114.12533337795</v>
      </c>
      <c r="AU134" s="29" t="n">
        <f aca="false">(1+SIN($A$4*H134)*SIN($A$4*AJ134))*120*ASIN(0.272481*SIN($A$4*AJ134))/$A$4</f>
        <v>29.4626907960018</v>
      </c>
      <c r="AV134" s="10" t="n">
        <f aca="false">COS(X134)</f>
        <v>-0.369550899250682</v>
      </c>
      <c r="AW134" s="10" t="n">
        <f aca="false">SIN(X134)</f>
        <v>0.929210488997521</v>
      </c>
      <c r="AX134" s="30" t="n">
        <f aca="false"> 385000.56 + (-20905355*COS(Q134) - 3699111*COS(2*S134-Q134) - 2955968*COS(2*S134) - 569925*COS(2*Q134) + (1-0.002516*M134)*48888*COS(R134) - 3149*COS(2*T134)  +246158*COS(2*S134-2*Q134) -(1-0.002516*M134)*152138*COS(2*S134-R134-Q134) -170733*COS(2*S134+Q134) -(1-0.002516*M134)*204586*COS(2*S134-R134) -(1-0.002516*M134)*129620*COS(R134-Q134)  + 108743*COS(S134) +(1-0.002516*M134)*104755*COS(R134+Q134) +10321*COS(2*S134-2*T134) +79661*COS(Q134-2*T134) -34782*COS(4*S134-Q134) -23210*COS(3*Q134)  -21636*COS(4*S134-2*Q134) +(1-0.002516*M134)*24208*COS(2*S134+R134-Q134) +(1-0.002516*M134)*30824*COS(2*S134+R134) -8379*COS(S134-Q134) -(1-0.002516*M134)*16675*COS(S134+R134)  -(1-0.002516*M134)*12831*COS(2*S134-R134+Q134) -10445*COS(2*S134+2*Q134) -11650*COS(4*S134) +14403*COS(2*S134-3*Q134) -(1-0.002516*M134)*7003*COS(R134-2*Q134)  + (1-0.002516*M134)*10056*COS(2*S134-R134-2*Q134) +6322*COS(S134+Q134) -(1-0.002516*M134)*(1-0.002516*M134)*9884*COS(2*S134-2*R134) +(1-0.002516*M134)*5751*COS(R134+2*Q134) -(1-0.002516*M134)*(1-0.002516*M134)*4950*COS(2*S134-2*R134-Q134)  +4130*COS(2*S134+Q134-2*T134) -(1-0.002516*M134)*3958*COS(4*S134-R134-Q134) +3258*COS(3*S134-Q134) +(1-0.002516*M134)*2616*COS(2*S134+R134+Q134) -(1-0.002516*M134)*1897*COS(4*S134-R134-2*Q134)  -(1-0.002516*M134)*(1-0.002516*M134)*2117*COS(2*R134-Q134) +(1-0.002516*M134)*(1-0.002516*M134)*2354*COS(2*S134+2*R134-Q134) -1423*COS(4*S134+Q134) -1117*COS(4*Q134) -(1-0.002516*M134)*1571*COS(4*S134-R134)  -1739*COS(S134-2*Q134) -4421*COS(2*Q134-2*T134) +(1-0.002516*M134)*(1-0.002516*M134)*1165*COS(2*R134+Q134) +8752*COS(2*S134-Q134-2*T134))/1000</f>
        <v>404324.495580523</v>
      </c>
      <c r="AY134" s="10" t="n">
        <f aca="false">AY133+1/8</f>
        <v>17.5</v>
      </c>
      <c r="AZ134" s="17" t="n">
        <f aca="false">AZ133+1</f>
        <v>133</v>
      </c>
      <c r="BA134" s="32" t="n">
        <f aca="false">ATAN(0.99664719*TAN($A$4*input!$E$2))</f>
        <v>-0.400219206115995</v>
      </c>
      <c r="BB134" s="32" t="n">
        <f aca="false">COS(BA134)</f>
        <v>0.920975608992155</v>
      </c>
      <c r="BC134" s="32" t="n">
        <f aca="false">0.99664719*SIN(BA134)</f>
        <v>-0.388313912533463</v>
      </c>
      <c r="BD134" s="32" t="n">
        <f aca="false">6378.14/AX134</f>
        <v>0.0157748048157269</v>
      </c>
      <c r="BE134" s="33" t="n">
        <f aca="false">MOD(N134-15*AH134,360)</f>
        <v>91.6780124317535</v>
      </c>
      <c r="BF134" s="27" t="n">
        <f aca="false">COS($A$4*AG134)*SIN($A$4*BE134)</f>
        <v>0.89449037693218</v>
      </c>
      <c r="BG134" s="27" t="n">
        <f aca="false">COS($A$4*AG134)*COS($A$4*BE134)-BB134*BD134</f>
        <v>-0.0407325010557313</v>
      </c>
      <c r="BH134" s="27" t="n">
        <f aca="false">SIN($A$4*AG134)-BC134*BD134</f>
        <v>0.452444185167397</v>
      </c>
      <c r="BI134" s="46" t="n">
        <f aca="false">SQRT(BF134^2+BG134^2+BH134^2)</f>
        <v>1.00323372738277</v>
      </c>
      <c r="BJ134" s="35" t="n">
        <f aca="false">AX134*BI134</f>
        <v>405631.970773405</v>
      </c>
    </row>
    <row r="135" customFormat="false" ht="15" hidden="false" customHeight="false" outlineLevel="0" collapsed="false">
      <c r="A135" s="20"/>
      <c r="B135" s="20"/>
      <c r="C135" s="15" t="n">
        <f aca="false">MOD(C134+3,24)</f>
        <v>15</v>
      </c>
      <c r="D135" s="17" t="n">
        <v>17</v>
      </c>
      <c r="E135" s="102" t="n">
        <f aca="false">input!$C$2</f>
        <v>10</v>
      </c>
      <c r="F135" s="102" t="n">
        <f aca="false">input!$D$2</f>
        <v>2022</v>
      </c>
      <c r="H135" s="39" t="n">
        <f aca="false">AM135</f>
        <v>-49.9044636425744</v>
      </c>
      <c r="I135" s="48" t="n">
        <f aca="false">H135+1.02/(TAN($A$4*(H135+10.3/(H135+5.11)))*60)</f>
        <v>-49.9186605138688</v>
      </c>
      <c r="J135" s="39" t="n">
        <f aca="false">100*(1+COS($A$4*AQ135))/2</f>
        <v>51.0521559544904</v>
      </c>
      <c r="K135" s="48" t="n">
        <f aca="false">IF(AI135&gt;180,AT135-180,AT135+180)</f>
        <v>284.165837408203</v>
      </c>
      <c r="L135" s="10" t="n">
        <f aca="false">L134+1/8</f>
        <v>2459870.125</v>
      </c>
      <c r="M135" s="49" t="n">
        <f aca="false">(L135-2451545)/36525</f>
        <v>0.227929500342231</v>
      </c>
      <c r="N135" s="15" t="n">
        <f aca="false">MOD(280.46061837+360.98564736629*(L135-2451545)+0.000387933*M135^2-M135^3/38710000+$G$4,360)</f>
        <v>251.098168808501</v>
      </c>
      <c r="O135" s="18" t="n">
        <f aca="false">0.60643382+1336.85522467*M135 - 0.00000313*M135^2 - INT(0.60643382+1336.85522467*M135 - 0.00000313*M135^2)</f>
        <v>0.315177046325289</v>
      </c>
      <c r="P135" s="15" t="n">
        <f aca="false">22640*SIN(Q135)-4586*SIN(Q135-2*S135)+2370*SIN(2*S135)+769*SIN(2*Q135)-668*SIN(R135)-412*SIN(2*T135)-212*SIN(2*Q135-2*S135)-206*SIN(Q135+R135-2*S135)+192*SIN(Q135+2*S135)-165*SIN(R135-2*S135)-125*SIN(S135)-110*SIN(Q135+R135)+148*SIN(Q135-R135)-55*SIN(2*T135-2*S135)</f>
        <v>-1045.55673465188</v>
      </c>
      <c r="Q135" s="18" t="n">
        <f aca="false">2*PI()*(0.374897+1325.55241*M135 - INT(0.374897+1325.55241*M135))</f>
        <v>3.18805987978414</v>
      </c>
      <c r="R135" s="26" t="n">
        <f aca="false">2*PI()*(0.99312619+99.99735956*M135 - 0.00000044*M135^2 - INT(0.99312619+99.99735956*M135- 0.00000044*M135^2))</f>
        <v>4.93528100312228</v>
      </c>
      <c r="S135" s="26" t="n">
        <f aca="false">2*PI()*(0.827361+1236.853086*M135 - INT(0.827361+1236.853086*M135))</f>
        <v>4.66631368337791</v>
      </c>
      <c r="T135" s="26" t="n">
        <f aca="false">2*PI()*(0.259086+1342.227825*M135 - INT(0.259086+1342.227825*M135))</f>
        <v>1.20890682973547</v>
      </c>
      <c r="U135" s="26" t="n">
        <f aca="false">T135+(P135+412*SIN(2*T135)+541*SIN(R135))/206264.8062</f>
        <v>1.2026026105631</v>
      </c>
      <c r="V135" s="26" t="n">
        <f aca="false">T135-2*S135</f>
        <v>-8.12372053702036</v>
      </c>
      <c r="W135" s="25" t="n">
        <f aca="false">-526*SIN(V135)+44*SIN(Q135+V135)-31*SIN(-Q135+V135)-23*SIN(R135+V135)+11*SIN(-R135+V135)-25*SIN(-2*Q135+T135)+21*SIN(-Q135+T135)</f>
        <v>472.413654843589</v>
      </c>
      <c r="X135" s="26" t="n">
        <f aca="false">2*PI()*(O135+P135/1296000-INT(O135+P135/1296000))</f>
        <v>1.97524678453796</v>
      </c>
      <c r="Y135" s="26" t="n">
        <f aca="false">(18520*SIN(U135)+W135)/206264.8062</f>
        <v>0.0860601725684702</v>
      </c>
      <c r="Z135" s="26" t="n">
        <f aca="false">Y135*180/PI()</f>
        <v>4.93088467234089</v>
      </c>
      <c r="AA135" s="26" t="n">
        <f aca="false">COS(Y135)*COS(X135)</f>
        <v>-0.392057264049499</v>
      </c>
      <c r="AB135" s="26" t="n">
        <f aca="false">COS(Y135)*SIN(X135)</f>
        <v>0.915916489122464</v>
      </c>
      <c r="AC135" s="26" t="n">
        <f aca="false">SIN(Y135)</f>
        <v>0.085953979893903</v>
      </c>
      <c r="AD135" s="26" t="n">
        <f aca="false">COS($A$4*(23.4393-46.815*M135/3600))*AB135-SIN($A$4*(23.4393-46.815*M135/3600))*AC135</f>
        <v>0.806169276895152</v>
      </c>
      <c r="AE135" s="26" t="n">
        <f aca="false">SIN($A$4*(23.4393-46.815*M135/3600))*AB135+COS($A$4*(23.4393-46.815*M135/3600))*AC135</f>
        <v>0.443150311628424</v>
      </c>
      <c r="AF135" s="26" t="n">
        <f aca="false">SQRT(1-AE135*AE135)</f>
        <v>0.896447322101879</v>
      </c>
      <c r="AG135" s="10" t="n">
        <f aca="false">ATAN(AE135/AF135)/$A$4</f>
        <v>26.3050568384311</v>
      </c>
      <c r="AH135" s="26" t="n">
        <f aca="false">IF(24*ATAN(AD135/(AA135+AF135))/PI()&gt;0,24*ATAN(AD135/(AA135+AF135))/PI(),24*ATAN(AD135/(AA135+AF135))/PI()+24)</f>
        <v>7.72897601647891</v>
      </c>
      <c r="AI135" s="10" t="n">
        <f aca="false">IF(N135-15*AH135&gt;0,N135-15*AH135,360+N135-15*AH135)</f>
        <v>135.163528561318</v>
      </c>
      <c r="AJ135" s="18" t="n">
        <f aca="false">0.950724+0.051818*COS(Q135)+0.009531*COS(2*S135-Q135)+0.007843*COS(2*S135)+0.002824*COS(2*Q135)+0.000857*COS(2*S135+Q135)+0.000533*COS(2*S135-R135)+0.000401*COS(2*S135-R135-Q135)+0.00032*COS(Q135-R135)-0.000271*COS(S135)</f>
        <v>0.904192700040274</v>
      </c>
      <c r="AK135" s="50" t="n">
        <f aca="false">ASIN(COS($A$4*$G$2)*COS($A$4*AG135)*COS($A$4*AI135)+SIN($A$4*$G$2)*SIN($A$4*AG135))/$A$4</f>
        <v>-49.3153382865586</v>
      </c>
      <c r="AL135" s="18" t="n">
        <f aca="false">ASIN((0.9983271+0.0016764*COS($A$4*2*$G$2))*COS($A$4*AK135)*SIN($A$4*AJ135))/$A$4</f>
        <v>0.589125356015821</v>
      </c>
      <c r="AM135" s="18" t="n">
        <f aca="false">AK135-AL135</f>
        <v>-49.9044636425744</v>
      </c>
      <c r="AN135" s="10" t="n">
        <f aca="false"> IF(280.4664567 + 360007.6982779*M135/10 + 0.03032028*M135^2/100 + M135^3/49931000&lt;0,MOD(280.4664567 + 360007.6982779*M135/10 + 0.03032028*M135^2/100 + M135^3/49931000+360,360),MOD(280.4664567 + 360007.6982779*M135/10 + 0.03032028*M135^2/100 + M135^3/49931000,360))</f>
        <v>206.103951236038</v>
      </c>
      <c r="AO135" s="27" t="n">
        <f aca="false"> AN135 + (1.9146 - 0.004817*M135 - 0.000014*M135^2)*SIN(R135)+ (0.019993 - 0.000101*M135)*SIN(2*R135)+ 0.00029*SIN(3*R135)</f>
        <v>204.229402810537</v>
      </c>
      <c r="AP135" s="18" t="n">
        <f aca="false">ACOS(COS(X135-$A$4*AO135)*COS(Y135))/$A$4</f>
        <v>91.0521896131585</v>
      </c>
      <c r="AQ135" s="25" t="n">
        <f aca="false">180 - AP135 -0.1468*(1-0.0549*SIN(R135))*SIN($A$4*AP135)/(1-0.0167*SIN($A$4*AO135))</f>
        <v>88.7942290887177</v>
      </c>
      <c r="AR135" s="25" t="n">
        <f aca="false">SIN($A$4*AI135)</f>
        <v>0.705085742079343</v>
      </c>
      <c r="AS135" s="25" t="n">
        <f aca="false">COS($A$4*AI135)*SIN($A$4*$G$2) - TAN($A$4*AG135)*COS($A$4*$G$2)</f>
        <v>-0.177966863399447</v>
      </c>
      <c r="AT135" s="25" t="n">
        <f aca="false">IF(OR(AND(AR135*AS135&gt;0), AND(AR135&lt;0,AS135&gt;0)), MOD(ATAN2(AS135,AR135)/$A$4+360,360),  ATAN2(AS135,AR135)/$A$4)</f>
        <v>104.165837408203</v>
      </c>
      <c r="AU135" s="29" t="n">
        <f aca="false">(1+SIN($A$4*H135)*SIN($A$4*AJ135))*120*ASIN(0.272481*SIN($A$4*AJ135))/$A$4</f>
        <v>29.2070194028923</v>
      </c>
      <c r="AV135" s="10" t="n">
        <f aca="false">COS(X135)</f>
        <v>-0.393513615294328</v>
      </c>
      <c r="AW135" s="10" t="n">
        <f aca="false">SIN(X135)</f>
        <v>0.919318788330788</v>
      </c>
      <c r="AX135" s="30" t="n">
        <f aca="false"> 385000.56 + (-20905355*COS(Q135) - 3699111*COS(2*S135-Q135) - 2955968*COS(2*S135) - 569925*COS(2*Q135) + (1-0.002516*M135)*48888*COS(R135) - 3149*COS(2*T135)  +246158*COS(2*S135-2*Q135) -(1-0.002516*M135)*152138*COS(2*S135-R135-Q135) -170733*COS(2*S135+Q135) -(1-0.002516*M135)*204586*COS(2*S135-R135) -(1-0.002516*M135)*129620*COS(R135-Q135)  + 108743*COS(S135) +(1-0.002516*M135)*104755*COS(R135+Q135) +10321*COS(2*S135-2*T135) +79661*COS(Q135-2*T135) -34782*COS(4*S135-Q135) -23210*COS(3*Q135)  -21636*COS(4*S135-2*Q135) +(1-0.002516*M135)*24208*COS(2*S135+R135-Q135) +(1-0.002516*M135)*30824*COS(2*S135+R135) -8379*COS(S135-Q135) -(1-0.002516*M135)*16675*COS(S135+R135)  -(1-0.002516*M135)*12831*COS(2*S135-R135+Q135) -10445*COS(2*S135+2*Q135) -11650*COS(4*S135) +14403*COS(2*S135-3*Q135) -(1-0.002516*M135)*7003*COS(R135-2*Q135)  + (1-0.002516*M135)*10056*COS(2*S135-R135-2*Q135) +6322*COS(S135+Q135) -(1-0.002516*M135)*(1-0.002516*M135)*9884*COS(2*S135-2*R135) +(1-0.002516*M135)*5751*COS(R135+2*Q135) -(1-0.002516*M135)*(1-0.002516*M135)*4950*COS(2*S135-2*R135-Q135)  +4130*COS(2*S135+Q135-2*T135) -(1-0.002516*M135)*3958*COS(4*S135-R135-Q135) +3258*COS(3*S135-Q135) +(1-0.002516*M135)*2616*COS(2*S135+R135+Q135) -(1-0.002516*M135)*1897*COS(4*S135-R135-2*Q135)  -(1-0.002516*M135)*(1-0.002516*M135)*2117*COS(2*R135-Q135) +(1-0.002516*M135)*(1-0.002516*M135)*2354*COS(2*S135+2*R135-Q135) -1423*COS(4*S135+Q135) -1117*COS(4*Q135) -(1-0.002516*M135)*1571*COS(4*S135-R135)  -1739*COS(S135-2*Q135) -4421*COS(2*Q135-2*T135) +(1-0.002516*M135)*(1-0.002516*M135)*1165*COS(2*R135+Q135) +8752*COS(2*S135-Q135-2*T135))/1000</f>
        <v>404303.080314497</v>
      </c>
      <c r="AY135" s="10" t="n">
        <f aca="false">AY134+1/8</f>
        <v>17.625</v>
      </c>
      <c r="AZ135" s="17" t="n">
        <f aca="false">AZ134+1</f>
        <v>134</v>
      </c>
      <c r="BA135" s="32" t="n">
        <f aca="false">ATAN(0.99664719*TAN($A$4*input!$E$2))</f>
        <v>-0.400219206115995</v>
      </c>
      <c r="BB135" s="32" t="n">
        <f aca="false">COS(BA135)</f>
        <v>0.920975608992155</v>
      </c>
      <c r="BC135" s="32" t="n">
        <f aca="false">0.99664719*SIN(BA135)</f>
        <v>-0.388313912533463</v>
      </c>
      <c r="BD135" s="32" t="n">
        <f aca="false">6378.14/AX135</f>
        <v>0.0157756403810691</v>
      </c>
      <c r="BE135" s="33" t="n">
        <f aca="false">MOD(N135-15*AH135,360)</f>
        <v>135.163528561318</v>
      </c>
      <c r="BF135" s="27" t="n">
        <f aca="false">COS($A$4*AG135)*SIN($A$4*BE135)</f>
        <v>0.632072225339243</v>
      </c>
      <c r="BG135" s="27" t="n">
        <f aca="false">COS($A$4*AG135)*COS($A$4*BE135)-BB135*BD135</f>
        <v>-0.650219551951069</v>
      </c>
      <c r="BH135" s="27" t="n">
        <f aca="false">SIN($A$4*AG135)-BC135*BD135</f>
        <v>0.449276212267518</v>
      </c>
      <c r="BI135" s="46" t="n">
        <f aca="false">SQRT(BF135^2+BG135^2+BH135^2)</f>
        <v>1.01200290448901</v>
      </c>
      <c r="BJ135" s="35" t="n">
        <f aca="false">AX135*BI135</f>
        <v>409155.891572126</v>
      </c>
    </row>
    <row r="136" customFormat="false" ht="15" hidden="false" customHeight="false" outlineLevel="0" collapsed="false">
      <c r="A136" s="20"/>
      <c r="B136" s="20"/>
      <c r="C136" s="15" t="n">
        <f aca="false">MOD(C135+3,24)</f>
        <v>18</v>
      </c>
      <c r="D136" s="17" t="n">
        <v>17</v>
      </c>
      <c r="E136" s="102" t="n">
        <f aca="false">input!$C$2</f>
        <v>10</v>
      </c>
      <c r="F136" s="102" t="n">
        <f aca="false">input!$D$2</f>
        <v>2022</v>
      </c>
      <c r="H136" s="39" t="n">
        <f aca="false">AM136</f>
        <v>-86.7346399032416</v>
      </c>
      <c r="I136" s="48" t="n">
        <f aca="false">H136+1.02/(TAN($A$4*(H136+10.3/(H136+5.11)))*60)</f>
        <v>-86.7355722476323</v>
      </c>
      <c r="J136" s="39" t="n">
        <f aca="false">100*(1+COS($A$4*AQ136))/2</f>
        <v>49.8682391173146</v>
      </c>
      <c r="K136" s="48" t="n">
        <f aca="false">IF(AI136&gt;180,AT136-180,AT136+180)</f>
        <v>338.631524444142</v>
      </c>
      <c r="L136" s="10" t="n">
        <f aca="false">L135+1/8</f>
        <v>2459870.25</v>
      </c>
      <c r="M136" s="49" t="n">
        <f aca="false">(L136-2451545)/36525</f>
        <v>0.227932922655715</v>
      </c>
      <c r="N136" s="15" t="n">
        <f aca="false">MOD(280.46061837+360.98564736629*(L136-2451545)+0.000387933*M136^2-M136^3/38710000+$G$4,360)</f>
        <v>296.221374729648</v>
      </c>
      <c r="O136" s="18" t="n">
        <f aca="false">0.60643382+1336.85522467*M136 - 0.00000313*M136^2 - INT(0.60643382+1336.85522467*M136 - 0.00000313*M136^2)</f>
        <v>0.319752183981791</v>
      </c>
      <c r="P136" s="15" t="n">
        <f aca="false">22640*SIN(Q136)-4586*SIN(Q136-2*S136)+2370*SIN(2*S136)+769*SIN(2*Q136)-668*SIN(R136)-412*SIN(2*T136)-212*SIN(2*Q136-2*S136)-206*SIN(Q136+R136-2*S136)+192*SIN(Q136+2*S136)-165*SIN(R136-2*S136)-125*SIN(S136)-110*SIN(Q136+R136)+148*SIN(Q136-R136)-55*SIN(2*T136-2*S136)</f>
        <v>-1625.78360766829</v>
      </c>
      <c r="Q136" s="18" t="n">
        <f aca="false">2*PI()*(0.374897+1325.55241*M136 - INT(0.374897+1325.55241*M136))</f>
        <v>3.21656327275594</v>
      </c>
      <c r="R136" s="26" t="n">
        <f aca="false">2*PI()*(0.99312619+99.99735956*M136 - 0.00000044*M136^2 - INT(0.99312619+99.99735956*M136- 0.00000044*M136^2))</f>
        <v>4.93743124932039</v>
      </c>
      <c r="S136" s="26" t="n">
        <f aca="false">2*PI()*(0.827361+1236.853086*M136 - INT(0.827361+1236.853086*M136))</f>
        <v>4.69290977214248</v>
      </c>
      <c r="T136" s="26" t="n">
        <f aca="false">2*PI()*(0.259086+1342.227825*M136 - INT(0.259086+1342.227825*M136))</f>
        <v>1.23776879465323</v>
      </c>
      <c r="U136" s="26" t="n">
        <f aca="false">T136+(P136+412*SIN(2*T136)+541*SIN(R136))/206264.8062</f>
        <v>1.22856425865408</v>
      </c>
      <c r="V136" s="26" t="n">
        <f aca="false">T136-2*S136</f>
        <v>-8.14805074963173</v>
      </c>
      <c r="W136" s="25" t="n">
        <f aca="false">-526*SIN(V136)+44*SIN(Q136+V136)-31*SIN(-Q136+V136)-23*SIN(R136+V136)+11*SIN(-R136+V136)-25*SIN(-2*Q136+T136)+21*SIN(-Q136+T136)</f>
        <v>468.994983879859</v>
      </c>
      <c r="X136" s="26" t="n">
        <f aca="false">2*PI()*(O136+P136/1296000-INT(O136+P136/1296000))</f>
        <v>2.00118020297776</v>
      </c>
      <c r="Y136" s="26" t="n">
        <f aca="false">(18520*SIN(U136)+W136)/206264.8062</f>
        <v>0.0868542849395007</v>
      </c>
      <c r="Z136" s="26" t="n">
        <f aca="false">Y136*180/PI()</f>
        <v>4.97638395966006</v>
      </c>
      <c r="AA136" s="26" t="n">
        <f aca="false">COS(Y136)*COS(X136)</f>
        <v>-0.415647007827757</v>
      </c>
      <c r="AB136" s="26" t="n">
        <f aca="false">COS(Y136)*SIN(X136)</f>
        <v>0.905379946747223</v>
      </c>
      <c r="AC136" s="26" t="n">
        <f aca="false">SIN(Y136)</f>
        <v>0.0867451261560428</v>
      </c>
      <c r="AD136" s="26" t="n">
        <f aca="false">COS($A$4*(23.4393-46.815*M136/3600))*AB136-SIN($A$4*(23.4393-46.815*M136/3600))*AC136</f>
        <v>0.796187309982865</v>
      </c>
      <c r="AE136" s="26" t="n">
        <f aca="false">SIN($A$4*(23.4393-46.815*M136/3600))*AB136+COS($A$4*(23.4393-46.815*M136/3600))*AC136</f>
        <v>0.439685492489895</v>
      </c>
      <c r="AF136" s="26" t="n">
        <f aca="false">SQRT(1-AE136*AE136)</f>
        <v>0.898151806597258</v>
      </c>
      <c r="AG136" s="10" t="n">
        <f aca="false">ATAN(AE136/AF136)/$A$4</f>
        <v>26.083816045906</v>
      </c>
      <c r="AH136" s="26" t="n">
        <f aca="false">IF(24*ATAN(AD136/(AA136+AF136))/PI()&gt;0,24*ATAN(AD136/(AA136+AF136))/PI(),24*ATAN(AD136/(AA136+AF136))/PI()+24)</f>
        <v>7.83777763155012</v>
      </c>
      <c r="AI136" s="10" t="n">
        <f aca="false">IF(N136-15*AH136&gt;0,N136-15*AH136,360+N136-15*AH136)</f>
        <v>178.654710256396</v>
      </c>
      <c r="AJ136" s="18" t="n">
        <f aca="false">0.950724+0.051818*COS(Q136)+0.009531*COS(2*S136-Q136)+0.007843*COS(2*S136)+0.002824*COS(2*Q136)+0.000857*COS(2*S136+Q136)+0.000533*COS(2*S136-R136)+0.000401*COS(2*S136-R136-Q136)+0.00032*COS(Q136-R136)-0.000271*COS(S136)</f>
        <v>0.904284168580246</v>
      </c>
      <c r="AK136" s="50" t="n">
        <f aca="false">ASIN(COS($A$4*$G$2)*COS($A$4*AG136)*COS($A$4*AI136)+SIN($A$4*$G$2)*SIN($A$4*AG136))/$A$4</f>
        <v>-86.6823361140662</v>
      </c>
      <c r="AL136" s="18" t="n">
        <f aca="false">ASIN((0.9983271+0.0016764*COS($A$4*2*$G$2))*COS($A$4*AK136)*SIN($A$4*AJ136))/$A$4</f>
        <v>0.0523037891753352</v>
      </c>
      <c r="AM136" s="18" t="n">
        <f aca="false">AK136-AL136</f>
        <v>-86.7346399032416</v>
      </c>
      <c r="AN136" s="10" t="n">
        <f aca="false"> IF(280.4664567 + 360007.6982779*M136/10 + 0.03032028*M136^2/100 + M136^3/49931000&lt;0,MOD(280.4664567 + 360007.6982779*M136/10 + 0.03032028*M136^2/100 + M136^3/49931000+360,360),MOD(280.4664567 + 360007.6982779*M136/10 + 0.03032028*M136^2/100 + M136^3/49931000,360))</f>
        <v>206.227157156523</v>
      </c>
      <c r="AO136" s="27" t="n">
        <f aca="false"> AN136 + (1.9146 - 0.004817*M136 - 0.000014*M136^2)*SIN(R136)+ (0.019993 - 0.000101*M136)*SIN(2*R136)+ 0.00029*SIN(3*R136)</f>
        <v>204.353444002458</v>
      </c>
      <c r="AP136" s="18" t="n">
        <f aca="false">ACOS(COS(X136-$A$4*AO136)*COS(Y136))/$A$4</f>
        <v>89.6954167968475</v>
      </c>
      <c r="AQ136" s="25" t="n">
        <f aca="false">180 - AP136 -0.1468*(1-0.0549*SIN(R136))*SIN($A$4*AP136)/(1-0.0167*SIN($A$4*AO136))</f>
        <v>90.1509870244079</v>
      </c>
      <c r="AR136" s="25" t="n">
        <f aca="false">SIN($A$4*AI136)</f>
        <v>0.0234775780902267</v>
      </c>
      <c r="AS136" s="25" t="n">
        <f aca="false">COS($A$4*AI136)*SIN($A$4*$G$2) - TAN($A$4*AG136)*COS($A$4*$G$2)</f>
        <v>-0.0600048801997839</v>
      </c>
      <c r="AT136" s="25" t="n">
        <f aca="false">IF(OR(AND(AR136*AS136&gt;0), AND(AR136&lt;0,AS136&gt;0)), MOD(ATAN2(AS136,AR136)/$A$4+360,360),  ATAN2(AS136,AR136)/$A$4)</f>
        <v>158.631524444142</v>
      </c>
      <c r="AU136" s="29" t="n">
        <f aca="false">(1+SIN($A$4*H136)*SIN($A$4*AJ136))*120*ASIN(0.272481*SIN($A$4*AJ136))/$A$4</f>
        <v>29.1010246326771</v>
      </c>
      <c r="AV136" s="10" t="n">
        <f aca="false">COS(X136)</f>
        <v>-0.417219702007747</v>
      </c>
      <c r="AW136" s="10" t="n">
        <f aca="false">SIN(X136)</f>
        <v>0.908805655933416</v>
      </c>
      <c r="AX136" s="30" t="n">
        <f aca="false"> 385000.56 + (-20905355*COS(Q136) - 3699111*COS(2*S136-Q136) - 2955968*COS(2*S136) - 569925*COS(2*Q136) + (1-0.002516*M136)*48888*COS(R136) - 3149*COS(2*T136)  +246158*COS(2*S136-2*Q136) -(1-0.002516*M136)*152138*COS(2*S136-R136-Q136) -170733*COS(2*S136+Q136) -(1-0.002516*M136)*204586*COS(2*S136-R136) -(1-0.002516*M136)*129620*COS(R136-Q136)  + 108743*COS(S136) +(1-0.002516*M136)*104755*COS(R136+Q136) +10321*COS(2*S136-2*T136) +79661*COS(Q136-2*T136) -34782*COS(4*S136-Q136) -23210*COS(3*Q136)  -21636*COS(4*S136-2*Q136) +(1-0.002516*M136)*24208*COS(2*S136+R136-Q136) +(1-0.002516*M136)*30824*COS(2*S136+R136) -8379*COS(S136-Q136) -(1-0.002516*M136)*16675*COS(S136+R136)  -(1-0.002516*M136)*12831*COS(2*S136-R136+Q136) -10445*COS(2*S136+2*Q136) -11650*COS(4*S136) +14403*COS(2*S136-3*Q136) -(1-0.002516*M136)*7003*COS(R136-2*Q136)  + (1-0.002516*M136)*10056*COS(2*S136-R136-2*Q136) +6322*COS(S136+Q136) -(1-0.002516*M136)*(1-0.002516*M136)*9884*COS(2*S136-2*R136) +(1-0.002516*M136)*5751*COS(R136+2*Q136) -(1-0.002516*M136)*(1-0.002516*M136)*4950*COS(2*S136-2*R136-Q136)  +4130*COS(2*S136+Q136-2*T136) -(1-0.002516*M136)*3958*COS(4*S136-R136-Q136) +3258*COS(3*S136-Q136) +(1-0.002516*M136)*2616*COS(2*S136+R136+Q136) -(1-0.002516*M136)*1897*COS(4*S136-R136-2*Q136)  -(1-0.002516*M136)*(1-0.002516*M136)*2117*COS(2*R136-Q136) +(1-0.002516*M136)*(1-0.002516*M136)*2354*COS(2*S136+2*R136-Q136) -1423*COS(4*S136+Q136) -1117*COS(4*Q136) -(1-0.002516*M136)*1571*COS(4*S136-R136)  -1739*COS(S136-2*Q136) -4421*COS(2*Q136-2*T136) +(1-0.002516*M136)*(1-0.002516*M136)*1165*COS(2*R136+Q136) +8752*COS(2*S136-Q136-2*T136))/1000</f>
        <v>404261.10802575</v>
      </c>
      <c r="AY136" s="10" t="n">
        <f aca="false">AY135+1/8</f>
        <v>17.75</v>
      </c>
      <c r="AZ136" s="17" t="n">
        <f aca="false">AZ135+1</f>
        <v>135</v>
      </c>
      <c r="BA136" s="32" t="n">
        <f aca="false">ATAN(0.99664719*TAN($A$4*input!$E$2))</f>
        <v>-0.400219206115995</v>
      </c>
      <c r="BB136" s="32" t="n">
        <f aca="false">COS(BA136)</f>
        <v>0.920975608992155</v>
      </c>
      <c r="BC136" s="32" t="n">
        <f aca="false">0.99664719*SIN(BA136)</f>
        <v>-0.388313912533463</v>
      </c>
      <c r="BD136" s="32" t="n">
        <f aca="false">6378.14/AX136</f>
        <v>0.0157772782822179</v>
      </c>
      <c r="BE136" s="33" t="n">
        <f aca="false">MOD(N136-15*AH136,360)</f>
        <v>178.654710256396</v>
      </c>
      <c r="BF136" s="27" t="n">
        <f aca="false">COS($A$4*AG136)*SIN($A$4*BE136)</f>
        <v>0.0210864291762653</v>
      </c>
      <c r="BG136" s="27" t="n">
        <f aca="false">COS($A$4*AG136)*COS($A$4*BE136)-BB136*BD136</f>
        <v>-0.912434731808934</v>
      </c>
      <c r="BH136" s="27" t="n">
        <f aca="false">SIN($A$4*AG136)-BC136*BD136</f>
        <v>0.445812029148792</v>
      </c>
      <c r="BI136" s="46" t="n">
        <f aca="false">SQRT(BF136^2+BG136^2+BH136^2)</f>
        <v>1.01574117896264</v>
      </c>
      <c r="BJ136" s="35" t="n">
        <f aca="false">AX136*BI136</f>
        <v>410624.654474818</v>
      </c>
    </row>
    <row r="137" customFormat="false" ht="15" hidden="false" customHeight="false" outlineLevel="0" collapsed="false">
      <c r="A137" s="20"/>
      <c r="B137" s="20"/>
      <c r="C137" s="15" t="n">
        <f aca="false">MOD(C136+3,24)</f>
        <v>21</v>
      </c>
      <c r="D137" s="17" t="n">
        <v>17</v>
      </c>
      <c r="E137" s="102" t="n">
        <f aca="false">input!$C$2</f>
        <v>10</v>
      </c>
      <c r="F137" s="102" t="n">
        <f aca="false">input!$D$2</f>
        <v>2022</v>
      </c>
      <c r="H137" s="39" t="n">
        <f aca="false">AM137</f>
        <v>-52.2357830153771</v>
      </c>
      <c r="I137" s="48" t="n">
        <f aca="false">H137+1.02/(TAN($A$4*(H137+10.3/(H137+5.11)))*60)</f>
        <v>-52.2488491083252</v>
      </c>
      <c r="J137" s="39" t="n">
        <f aca="false">100*(1+COS($A$4*AQ137))/2</f>
        <v>48.6839342207258</v>
      </c>
      <c r="K137" s="48" t="n">
        <f aca="false">IF(AI137&gt;180,AT137-180,AT137+180)</f>
        <v>76.8982956762637</v>
      </c>
      <c r="L137" s="10" t="n">
        <f aca="false">L136+1/8</f>
        <v>2459870.375</v>
      </c>
      <c r="M137" s="49" t="n">
        <f aca="false">(L137-2451545)/36525</f>
        <v>0.227936344969199</v>
      </c>
      <c r="N137" s="15" t="n">
        <f aca="false">MOD(280.46061837+360.98564736629*(L137-2451545)+0.000387933*M137^2-M137^3/38710000+$G$4,360)</f>
        <v>341.344580651261</v>
      </c>
      <c r="O137" s="18" t="n">
        <f aca="false">0.60643382+1336.85522467*M137 - 0.00000313*M137^2 - INT(0.60643382+1336.85522467*M137 - 0.00000313*M137^2)</f>
        <v>0.32432732163835</v>
      </c>
      <c r="P137" s="15" t="n">
        <f aca="false">22640*SIN(Q137)-4586*SIN(Q137-2*S137)+2370*SIN(2*S137)+769*SIN(2*Q137)-668*SIN(R137)-412*SIN(2*T137)-212*SIN(2*Q137-2*S137)-206*SIN(Q137+R137-2*S137)+192*SIN(Q137+2*S137)-165*SIN(R137-2*S137)-125*SIN(S137)-110*SIN(Q137+R137)+148*SIN(Q137-R137)-55*SIN(2*T137-2*S137)</f>
        <v>-2203.72363348694</v>
      </c>
      <c r="Q137" s="18" t="n">
        <f aca="false">2*PI()*(0.374897+1325.55241*M137 - INT(0.374897+1325.55241*M137))</f>
        <v>3.24506666572773</v>
      </c>
      <c r="R137" s="26" t="n">
        <f aca="false">2*PI()*(0.99312619+99.99735956*M137 - 0.00000044*M137^2 - INT(0.99312619+99.99735956*M137- 0.00000044*M137^2))</f>
        <v>4.93958149551847</v>
      </c>
      <c r="S137" s="26" t="n">
        <f aca="false">2*PI()*(0.827361+1236.853086*M137 - INT(0.827361+1236.853086*M137))</f>
        <v>4.7195058609074</v>
      </c>
      <c r="T137" s="26" t="n">
        <f aca="false">2*PI()*(0.259086+1342.227825*M137 - INT(0.259086+1342.227825*M137))</f>
        <v>1.26663075957063</v>
      </c>
      <c r="U137" s="26" t="n">
        <f aca="false">T137+(P137+412*SIN(2*T137)+541*SIN(R137))/206264.8062</f>
        <v>1.25453289426508</v>
      </c>
      <c r="V137" s="26" t="n">
        <f aca="false">T137-2*S137</f>
        <v>-8.17238096224417</v>
      </c>
      <c r="W137" s="25" t="n">
        <f aca="false">-526*SIN(V137)+44*SIN(Q137+V137)-31*SIN(-Q137+V137)-23*SIN(R137+V137)+11*SIN(-R137+V137)-25*SIN(-2*Q137+T137)+21*SIN(-Q137+T137)</f>
        <v>465.380410213569</v>
      </c>
      <c r="X137" s="26" t="n">
        <f aca="false">2*PI()*(O137+P137/1296000-INT(O137+P137/1296000))</f>
        <v>2.027124708366</v>
      </c>
      <c r="Y137" s="26" t="n">
        <f aca="false">(18520*SIN(U137)+W137)/206264.8062</f>
        <v>0.0875906379953902</v>
      </c>
      <c r="Z137" s="26" t="n">
        <f aca="false">Y137*180/PI()</f>
        <v>5.01857388199409</v>
      </c>
      <c r="AA137" s="26" t="n">
        <f aca="false">COS(Y137)*COS(X137)</f>
        <v>-0.438965859970542</v>
      </c>
      <c r="AB137" s="26" t="n">
        <f aca="false">COS(Y137)*SIN(X137)</f>
        <v>0.894235122510032</v>
      </c>
      <c r="AC137" s="26" t="n">
        <f aca="false">SIN(Y137)</f>
        <v>0.087478679972839</v>
      </c>
      <c r="AD137" s="26" t="n">
        <f aca="false">COS($A$4*(23.4393-46.815*M137/3600))*AB137-SIN($A$4*(23.4393-46.815*M137/3600))*AC137</f>
        <v>0.785670149122607</v>
      </c>
      <c r="AE137" s="26" t="n">
        <f aca="false">SIN($A$4*(23.4393-46.815*M137/3600))*AB137+COS($A$4*(23.4393-46.815*M137/3600))*AC137</f>
        <v>0.435925900306443</v>
      </c>
      <c r="AF137" s="26" t="n">
        <f aca="false">SQRT(1-AE137*AE137)</f>
        <v>0.899982560632159</v>
      </c>
      <c r="AG137" s="10" t="n">
        <f aca="false">ATAN(AE137/AF137)/$A$4</f>
        <v>25.8442249954957</v>
      </c>
      <c r="AH137" s="26" t="n">
        <f aca="false">IF(24*ATAN(AD137/(AA137+AF137))/PI()&gt;0,24*ATAN(AD137/(AA137+AF137))/PI(),24*ATAN(AD137/(AA137+AF137))/PI()+24)</f>
        <v>7.94618375655047</v>
      </c>
      <c r="AI137" s="10" t="n">
        <f aca="false">IF(N137-15*AH137&gt;0,N137-15*AH137,360+N137-15*AH137)</f>
        <v>222.151824303004</v>
      </c>
      <c r="AJ137" s="18" t="n">
        <f aca="false">0.950724+0.051818*COS(Q137)+0.009531*COS(2*S137-Q137)+0.007843*COS(2*S137)+0.002824*COS(2*Q137)+0.000857*COS(2*S137+Q137)+0.000533*COS(2*S137-R137)+0.000401*COS(2*S137-R137-Q137)+0.00032*COS(Q137-R137)-0.000271*COS(S137)</f>
        <v>0.904419551887063</v>
      </c>
      <c r="AK137" s="50" t="n">
        <f aca="false">ASIN(COS($A$4*$G$2)*COS($A$4*AG137)*COS($A$4*AI137)+SIN($A$4*$G$2)*SIN($A$4*AG137))/$A$4</f>
        <v>-51.6752354734088</v>
      </c>
      <c r="AL137" s="18" t="n">
        <f aca="false">ASIN((0.9983271+0.0016764*COS($A$4*2*$G$2))*COS($A$4*AK137)*SIN($A$4*AJ137))/$A$4</f>
        <v>0.560547541968288</v>
      </c>
      <c r="AM137" s="18" t="n">
        <f aca="false">AK137-AL137</f>
        <v>-52.2357830153771</v>
      </c>
      <c r="AN137" s="10" t="n">
        <f aca="false"> IF(280.4664567 + 360007.6982779*M137/10 + 0.03032028*M137^2/100 + M137^3/49931000&lt;0,MOD(280.4664567 + 360007.6982779*M137/10 + 0.03032028*M137^2/100 + M137^3/49931000+360,360),MOD(280.4664567 + 360007.6982779*M137/10 + 0.03032028*M137^2/100 + M137^3/49931000,360))</f>
        <v>206.350363077008</v>
      </c>
      <c r="AO137" s="27" t="n">
        <f aca="false"> AN137 + (1.9146 - 0.004817*M137 - 0.000014*M137^2)*SIN(R137)+ (0.019993 - 0.000101*M137)*SIN(2*R137)+ 0.00029*SIN(3*R137)</f>
        <v>204.477493969717</v>
      </c>
      <c r="AP137" s="18" t="n">
        <f aca="false">ACOS(COS(X137-$A$4*AO137)*COS(Y137))/$A$4</f>
        <v>88.3382006419207</v>
      </c>
      <c r="AQ137" s="25" t="n">
        <f aca="false">180 - AP137 -0.1468*(1-0.0549*SIN(R137))*SIN($A$4*AP137)/(1-0.0167*SIN($A$4*AO137))</f>
        <v>91.508274486836</v>
      </c>
      <c r="AR137" s="25" t="n">
        <f aca="false">SIN($A$4*AI137)</f>
        <v>-0.671097465269914</v>
      </c>
      <c r="AS137" s="25" t="n">
        <f aca="false">COS($A$4*AI137)*SIN($A$4*$G$2) - TAN($A$4*AG137)*COS($A$4*$G$2)</f>
        <v>-0.156190315844815</v>
      </c>
      <c r="AT137" s="25" t="n">
        <f aca="false">IF(OR(AND(AR137*AS137&gt;0), AND(AR137&lt;0,AS137&gt;0)), MOD(ATAN2(AS137,AR137)/$A$4+360,360),  ATAN2(AS137,AR137)/$A$4)</f>
        <v>256.898295676264</v>
      </c>
      <c r="AU137" s="29" t="n">
        <f aca="false">(1+SIN($A$4*H137)*SIN($A$4*AJ137))*120*ASIN(0.272481*SIN($A$4*AJ137))/$A$4</f>
        <v>29.2023236127536</v>
      </c>
      <c r="AV137" s="10" t="n">
        <f aca="false">COS(X137)</f>
        <v>-0.440655159113781</v>
      </c>
      <c r="AW137" s="10" t="n">
        <f aca="false">SIN(X137)</f>
        <v>0.897676462176885</v>
      </c>
      <c r="AX137" s="30" t="n">
        <f aca="false"> 385000.56 + (-20905355*COS(Q137) - 3699111*COS(2*S137-Q137) - 2955968*COS(2*S137) - 569925*COS(2*Q137) + (1-0.002516*M137)*48888*COS(R137) - 3149*COS(2*T137)  +246158*COS(2*S137-2*Q137) -(1-0.002516*M137)*152138*COS(2*S137-R137-Q137) -170733*COS(2*S137+Q137) -(1-0.002516*M137)*204586*COS(2*S137-R137) -(1-0.002516*M137)*129620*COS(R137-Q137)  + 108743*COS(S137) +(1-0.002516*M137)*104755*COS(R137+Q137) +10321*COS(2*S137-2*T137) +79661*COS(Q137-2*T137) -34782*COS(4*S137-Q137) -23210*COS(3*Q137)  -21636*COS(4*S137-2*Q137) +(1-0.002516*M137)*24208*COS(2*S137+R137-Q137) +(1-0.002516*M137)*30824*COS(2*S137+R137) -8379*COS(S137-Q137) -(1-0.002516*M137)*16675*COS(S137+R137)  -(1-0.002516*M137)*12831*COS(2*S137-R137+Q137) -10445*COS(2*S137+2*Q137) -11650*COS(4*S137) +14403*COS(2*S137-3*Q137) -(1-0.002516*M137)*7003*COS(R137-2*Q137)  + (1-0.002516*M137)*10056*COS(2*S137-R137-2*Q137) +6322*COS(S137+Q137) -(1-0.002516*M137)*(1-0.002516*M137)*9884*COS(2*S137-2*R137) +(1-0.002516*M137)*5751*COS(R137+2*Q137) -(1-0.002516*M137)*(1-0.002516*M137)*4950*COS(2*S137-2*R137-Q137)  +4130*COS(2*S137+Q137-2*T137) -(1-0.002516*M137)*3958*COS(4*S137-R137-Q137) +3258*COS(3*S137-Q137) +(1-0.002516*M137)*2616*COS(2*S137+R137+Q137) -(1-0.002516*M137)*1897*COS(4*S137-R137-2*Q137)  -(1-0.002516*M137)*(1-0.002516*M137)*2117*COS(2*R137-Q137) +(1-0.002516*M137)*(1-0.002516*M137)*2354*COS(2*S137+2*R137-Q137) -1423*COS(4*S137+Q137) -1117*COS(4*Q137) -(1-0.002516*M137)*1571*COS(4*S137-R137)  -1739*COS(S137-2*Q137) -4421*COS(2*Q137-2*T137) +(1-0.002516*M137)*(1-0.002516*M137)*1165*COS(2*R137+Q137) +8752*COS(2*S137-Q137-2*T137))/1000</f>
        <v>404198.597421231</v>
      </c>
      <c r="AY137" s="10" t="n">
        <f aca="false">AY136+1/8</f>
        <v>17.875</v>
      </c>
      <c r="AZ137" s="17" t="n">
        <f aca="false">AZ136+1</f>
        <v>136</v>
      </c>
      <c r="BA137" s="32" t="n">
        <f aca="false">ATAN(0.99664719*TAN($A$4*input!$E$2))</f>
        <v>-0.400219206115995</v>
      </c>
      <c r="BB137" s="32" t="n">
        <f aca="false">COS(BA137)</f>
        <v>0.920975608992155</v>
      </c>
      <c r="BC137" s="32" t="n">
        <f aca="false">0.99664719*SIN(BA137)</f>
        <v>-0.388313912533463</v>
      </c>
      <c r="BD137" s="32" t="n">
        <f aca="false">6378.14/AX137</f>
        <v>0.0157797182887131</v>
      </c>
      <c r="BE137" s="33" t="n">
        <f aca="false">MOD(N137-15*AH137,360)</f>
        <v>222.151824303004</v>
      </c>
      <c r="BF137" s="27" t="n">
        <f aca="false">COS($A$4*AG137)*SIN($A$4*BE137)</f>
        <v>-0.603976015227369</v>
      </c>
      <c r="BG137" s="27" t="n">
        <f aca="false">COS($A$4*AG137)*COS($A$4*BE137)-BB137*BD137</f>
        <v>-0.681752026802712</v>
      </c>
      <c r="BH137" s="27" t="n">
        <f aca="false">SIN($A$4*AG137)-BC137*BD137</f>
        <v>0.442053384453809</v>
      </c>
      <c r="BI137" s="46" t="n">
        <f aca="false">SQRT(BF137^2+BG137^2+BH137^2)</f>
        <v>1.01241495826889</v>
      </c>
      <c r="BJ137" s="35" t="n">
        <f aca="false">AX137*BI137</f>
        <v>409216.706140561</v>
      </c>
    </row>
    <row r="138" customFormat="false" ht="15" hidden="false" customHeight="false" outlineLevel="0" collapsed="false">
      <c r="A138" s="20"/>
      <c r="B138" s="20"/>
      <c r="C138" s="15" t="n">
        <f aca="false">MOD(C137+3,24)</f>
        <v>0</v>
      </c>
      <c r="D138" s="36" t="n">
        <v>18</v>
      </c>
      <c r="E138" s="102" t="n">
        <f aca="false">input!$C$2</f>
        <v>10</v>
      </c>
      <c r="F138" s="102" t="n">
        <f aca="false">input!$D$2</f>
        <v>2022</v>
      </c>
      <c r="H138" s="39" t="n">
        <f aca="false">AM138</f>
        <v>-14.2734771954692</v>
      </c>
      <c r="I138" s="48" t="n">
        <f aca="false">H138+1.02/(TAN($A$4*(H138+10.3/(H138+5.11)))*60)</f>
        <v>-14.3352058067971</v>
      </c>
      <c r="J138" s="39" t="n">
        <f aca="false">100*(1+COS($A$4*AQ138))/2</f>
        <v>47.4997734565001</v>
      </c>
      <c r="K138" s="48" t="n">
        <f aca="false">IF(AI138&gt;180,AT138-180,AT138+180)</f>
        <v>67.5912551145338</v>
      </c>
      <c r="L138" s="10" t="n">
        <f aca="false">L137+1/8</f>
        <v>2459870.5</v>
      </c>
      <c r="M138" s="49" t="n">
        <f aca="false">(L138-2451545)/36525</f>
        <v>0.227939767282683</v>
      </c>
      <c r="N138" s="15" t="n">
        <f aca="false">MOD(280.46061837+360.98564736629*(L138-2451545)+0.000387933*M138^2-M138^3/38710000+$G$4,360)</f>
        <v>26.4677865728736</v>
      </c>
      <c r="O138" s="18" t="n">
        <f aca="false">0.60643382+1336.85522467*M138 - 0.00000313*M138^2 - INT(0.60643382+1336.85522467*M138 - 0.00000313*M138^2)</f>
        <v>0.328902459294852</v>
      </c>
      <c r="P138" s="15" t="n">
        <f aca="false">22640*SIN(Q138)-4586*SIN(Q138-2*S138)+2370*SIN(2*S138)+769*SIN(2*Q138)-668*SIN(R138)-412*SIN(2*T138)-212*SIN(2*Q138-2*S138)-206*SIN(Q138+R138-2*S138)+192*SIN(Q138+2*S138)-165*SIN(R138-2*S138)-125*SIN(S138)-110*SIN(Q138+R138)+148*SIN(Q138-R138)-55*SIN(2*T138-2*S138)</f>
        <v>-2778.87109743177</v>
      </c>
      <c r="Q138" s="18" t="n">
        <f aca="false">2*PI()*(0.374897+1325.55241*M138 - INT(0.374897+1325.55241*M138))</f>
        <v>3.27357005869989</v>
      </c>
      <c r="R138" s="26" t="n">
        <f aca="false">2*PI()*(0.99312619+99.99735956*M138 - 0.00000044*M138^2 - INT(0.99312619+99.99735956*M138- 0.00000044*M138^2))</f>
        <v>4.94173174171655</v>
      </c>
      <c r="S138" s="26" t="n">
        <f aca="false">2*PI()*(0.827361+1236.853086*M138 - INT(0.827361+1236.853086*M138))</f>
        <v>4.74610194967232</v>
      </c>
      <c r="T138" s="26" t="n">
        <f aca="false">2*PI()*(0.259086+1342.227825*M138 - INT(0.259086+1342.227825*M138))</f>
        <v>1.29549272448839</v>
      </c>
      <c r="U138" s="26" t="n">
        <f aca="false">T138+(P138+412*SIN(2*T138)+541*SIN(R138))/206264.8062</f>
        <v>1.28051127783179</v>
      </c>
      <c r="V138" s="26" t="n">
        <f aca="false">T138-2*S138</f>
        <v>-8.19671117485626</v>
      </c>
      <c r="W138" s="25" t="n">
        <f aca="false">-526*SIN(V138)+44*SIN(Q138+V138)-31*SIN(-Q138+V138)-23*SIN(R138+V138)+11*SIN(-R138+V138)-25*SIN(-2*Q138+T138)+21*SIN(-Q138+T138)</f>
        <v>461.57061661808</v>
      </c>
      <c r="X138" s="26" t="n">
        <f aca="false">2*PI()*(O138+P138/1296000-INT(O138+P138/1296000))</f>
        <v>2.0530827524759</v>
      </c>
      <c r="Y138" s="26" t="n">
        <f aca="false">(18520*SIN(U138)+W138)/206264.8062</f>
        <v>0.0882687513843745</v>
      </c>
      <c r="Z138" s="26" t="n">
        <f aca="false">Y138*180/PI()</f>
        <v>5.0574269172142</v>
      </c>
      <c r="AA138" s="26" t="n">
        <f aca="false">COS(Y138)*COS(X138)</f>
        <v>-0.462000344850684</v>
      </c>
      <c r="AB138" s="26" t="n">
        <f aca="false">COS(Y138)*SIN(X138)</f>
        <v>0.882487690021202</v>
      </c>
      <c r="AC138" s="26" t="n">
        <f aca="false">SIN(Y138)</f>
        <v>0.0881541735761395</v>
      </c>
      <c r="AD138" s="26" t="n">
        <f aca="false">COS($A$4*(23.4393-46.815*M138/3600))*AB138-SIN($A$4*(23.4393-46.815*M138/3600))*AC138</f>
        <v>0.774623185911126</v>
      </c>
      <c r="AE138" s="26" t="n">
        <f aca="false">SIN($A$4*(23.4393-46.815*M138/3600))*AB138+COS($A$4*(23.4393-46.815*M138/3600))*AC138</f>
        <v>0.431873362464909</v>
      </c>
      <c r="AF138" s="26" t="n">
        <f aca="false">SQRT(1-AE138*AE138)</f>
        <v>0.901934254141206</v>
      </c>
      <c r="AG138" s="10" t="n">
        <f aca="false">ATAN(AE138/AF138)/$A$4</f>
        <v>25.5865073014809</v>
      </c>
      <c r="AH138" s="26" t="n">
        <f aca="false">IF(24*ATAN(AD138/(AA138+AF138))/PI()&gt;0,24*ATAN(AD138/(AA138+AF138))/PI(),24*ATAN(AD138/(AA138+AF138))/PI()+24)</f>
        <v>8.05417819339245</v>
      </c>
      <c r="AI138" s="10" t="n">
        <f aca="false">IF(N138-15*AH138&gt;0,N138-15*AH138,360+N138-15*AH138)</f>
        <v>265.655113671987</v>
      </c>
      <c r="AJ138" s="18" t="n">
        <f aca="false">0.950724+0.051818*COS(Q138)+0.009531*COS(2*S138-Q138)+0.007843*COS(2*S138)+0.002824*COS(2*Q138)+0.000857*COS(2*S138+Q138)+0.000533*COS(2*S138-R138)+0.000401*COS(2*S138-R138-Q138)+0.00032*COS(Q138-R138)-0.000271*COS(S138)</f>
        <v>0.904598806560703</v>
      </c>
      <c r="AK138" s="50" t="n">
        <f aca="false">ASIN(COS($A$4*$G$2)*COS($A$4*AG138)*COS($A$4*AI138)+SIN($A$4*$G$2)*SIN($A$4*AG138))/$A$4</f>
        <v>-13.3939324643032</v>
      </c>
      <c r="AL138" s="18" t="n">
        <f aca="false">ASIN((0.9983271+0.0016764*COS($A$4*2*$G$2))*COS($A$4*AK138)*SIN($A$4*AJ138))/$A$4</f>
        <v>0.879544731165964</v>
      </c>
      <c r="AM138" s="18" t="n">
        <f aca="false">AK138-AL138</f>
        <v>-14.2734771954692</v>
      </c>
      <c r="AN138" s="10" t="n">
        <f aca="false"> IF(280.4664567 + 360007.6982779*M138/10 + 0.03032028*M138^2/100 + M138^3/49931000&lt;0,MOD(280.4664567 + 360007.6982779*M138/10 + 0.03032028*M138^2/100 + M138^3/49931000+360,360),MOD(280.4664567 + 360007.6982779*M138/10 + 0.03032028*M138^2/100 + M138^3/49931000,360))</f>
        <v>206.473568997493</v>
      </c>
      <c r="AO138" s="27" t="n">
        <f aca="false"> AN138 + (1.9146 - 0.004817*M138 - 0.000014*M138^2)*SIN(R138)+ (0.019993 - 0.000101*M138)*SIN(2*R138)+ 0.00029*SIN(3*R138)</f>
        <v>204.601552709525</v>
      </c>
      <c r="AP138" s="18" t="n">
        <f aca="false">ACOS(COS(X138-$A$4*AO138)*COS(Y138))/$A$4</f>
        <v>86.9803887727962</v>
      </c>
      <c r="AQ138" s="25" t="n">
        <f aca="false">180 - AP138 -0.1468*(1-0.0549*SIN(R138))*SIN($A$4*AP138)/(1-0.0167*SIN($A$4*AO138))</f>
        <v>92.8662439074661</v>
      </c>
      <c r="AR138" s="25" t="n">
        <f aca="false">SIN($A$4*AI138)</f>
        <v>-0.997126088125755</v>
      </c>
      <c r="AS138" s="25" t="n">
        <f aca="false">COS($A$4*AI138)*SIN($A$4*$G$2) - TAN($A$4*AG138)*COS($A$4*$G$2)</f>
        <v>-0.411163770111604</v>
      </c>
      <c r="AT138" s="25" t="n">
        <f aca="false">IF(OR(AND(AR138*AS138&gt;0), AND(AR138&lt;0,AS138&gt;0)), MOD(ATAN2(AS138,AR138)/$A$4+360,360),  ATAN2(AS138,AR138)/$A$4)</f>
        <v>247.591255114534</v>
      </c>
      <c r="AU138" s="29" t="n">
        <f aca="false">(1+SIN($A$4*H138)*SIN($A$4*AJ138))*120*ASIN(0.272481*SIN($A$4*AJ138))/$A$4</f>
        <v>29.4620537293497</v>
      </c>
      <c r="AV138" s="10" t="n">
        <f aca="false">COS(X138)</f>
        <v>-0.463806014714065</v>
      </c>
      <c r="AW138" s="10" t="n">
        <f aca="false">SIN(X138)</f>
        <v>0.885936781443832</v>
      </c>
      <c r="AX138" s="30" t="n">
        <f aca="false"> 385000.56 + (-20905355*COS(Q138) - 3699111*COS(2*S138-Q138) - 2955968*COS(2*S138) - 569925*COS(2*Q138) + (1-0.002516*M138)*48888*COS(R138) - 3149*COS(2*T138)  +246158*COS(2*S138-2*Q138) -(1-0.002516*M138)*152138*COS(2*S138-R138-Q138) -170733*COS(2*S138+Q138) -(1-0.002516*M138)*204586*COS(2*S138-R138) -(1-0.002516*M138)*129620*COS(R138-Q138)  + 108743*COS(S138) +(1-0.002516*M138)*104755*COS(R138+Q138) +10321*COS(2*S138-2*T138) +79661*COS(Q138-2*T138) -34782*COS(4*S138-Q138) -23210*COS(3*Q138)  -21636*COS(4*S138-2*Q138) +(1-0.002516*M138)*24208*COS(2*S138+R138-Q138) +(1-0.002516*M138)*30824*COS(2*S138+R138) -8379*COS(S138-Q138) -(1-0.002516*M138)*16675*COS(S138+R138)  -(1-0.002516*M138)*12831*COS(2*S138-R138+Q138) -10445*COS(2*S138+2*Q138) -11650*COS(4*S138) +14403*COS(2*S138-3*Q138) -(1-0.002516*M138)*7003*COS(R138-2*Q138)  + (1-0.002516*M138)*10056*COS(2*S138-R138-2*Q138) +6322*COS(S138+Q138) -(1-0.002516*M138)*(1-0.002516*M138)*9884*COS(2*S138-2*R138) +(1-0.002516*M138)*5751*COS(R138+2*Q138) -(1-0.002516*M138)*(1-0.002516*M138)*4950*COS(2*S138-2*R138-Q138)  +4130*COS(2*S138+Q138-2*T138) -(1-0.002516*M138)*3958*COS(4*S138-R138-Q138) +3258*COS(3*S138-Q138) +(1-0.002516*M138)*2616*COS(2*S138+R138+Q138) -(1-0.002516*M138)*1897*COS(4*S138-R138-2*Q138)  -(1-0.002516*M138)*(1-0.002516*M138)*2117*COS(2*R138-Q138) +(1-0.002516*M138)*(1-0.002516*M138)*2354*COS(2*S138+2*R138-Q138) -1423*COS(4*S138+Q138) -1117*COS(4*Q138) -(1-0.002516*M138)*1571*COS(4*S138-R138)  -1739*COS(S138-2*Q138) -4421*COS(2*Q138-2*T138) +(1-0.002516*M138)*(1-0.002516*M138)*1165*COS(2*R138+Q138) +8752*COS(2*S138-Q138-2*T138))/1000</f>
        <v>404115.59262978</v>
      </c>
      <c r="AY138" s="10" t="n">
        <f aca="false">AY137+1/8</f>
        <v>18</v>
      </c>
      <c r="AZ138" s="17" t="n">
        <f aca="false">AZ137+1</f>
        <v>137</v>
      </c>
      <c r="BA138" s="32" t="n">
        <f aca="false">ATAN(0.99664719*TAN($A$4*input!$E$2))</f>
        <v>-0.400219206115995</v>
      </c>
      <c r="BB138" s="32" t="n">
        <f aca="false">COS(BA138)</f>
        <v>0.920975608992155</v>
      </c>
      <c r="BC138" s="32" t="n">
        <f aca="false">0.99664719*SIN(BA138)</f>
        <v>-0.388313912533463</v>
      </c>
      <c r="BD138" s="32" t="n">
        <f aca="false">6378.14/AX138</f>
        <v>0.0157829594213237</v>
      </c>
      <c r="BE138" s="33" t="n">
        <f aca="false">MOD(N138-15*AH138,360)</f>
        <v>265.655113671987</v>
      </c>
      <c r="BF138" s="27" t="n">
        <f aca="false">COS($A$4*AG138)*SIN($A$4*BE138)</f>
        <v>-0.899342174578441</v>
      </c>
      <c r="BG138" s="27" t="n">
        <f aca="false">COS($A$4*AG138)*COS($A$4*BE138)-BB138*BD138</f>
        <v>-0.0828661810596166</v>
      </c>
      <c r="BH138" s="27" t="n">
        <f aca="false">SIN($A$4*AG138)-BC138*BD138</f>
        <v>0.43800210518916</v>
      </c>
      <c r="BI138" s="46" t="n">
        <f aca="false">SQRT(BF138^2+BG138^2+BH138^2)</f>
        <v>1.00375743837295</v>
      </c>
      <c r="BJ138" s="35" t="n">
        <f aca="false">AX138*BI138</f>
        <v>405634.032064634</v>
      </c>
    </row>
    <row r="139" customFormat="false" ht="15" hidden="false" customHeight="false" outlineLevel="0" collapsed="false">
      <c r="A139" s="20"/>
      <c r="B139" s="20"/>
      <c r="C139" s="15" t="n">
        <f aca="false">MOD(C138+3,24)</f>
        <v>3</v>
      </c>
      <c r="D139" s="17" t="n">
        <v>18</v>
      </c>
      <c r="E139" s="102" t="n">
        <f aca="false">input!$C$2</f>
        <v>10</v>
      </c>
      <c r="F139" s="102" t="n">
        <f aca="false">input!$D$2</f>
        <v>2022</v>
      </c>
      <c r="H139" s="39" t="n">
        <f aca="false">AM139</f>
        <v>20.1632312510091</v>
      </c>
      <c r="I139" s="48" t="n">
        <f aca="false">H139+1.02/(TAN($A$4*(H139+10.3/(H139+5.11)))*60)</f>
        <v>20.2085291547144</v>
      </c>
      <c r="J139" s="39" t="n">
        <f aca="false">100*(1+COS($A$4*AQ139))/2</f>
        <v>46.3162912590039</v>
      </c>
      <c r="K139" s="48" t="n">
        <f aca="false">IF(AI139&gt;180,AT139-180,AT139+180)</f>
        <v>48.6601564624881</v>
      </c>
      <c r="L139" s="10" t="n">
        <f aca="false">L138+1/8</f>
        <v>2459870.625</v>
      </c>
      <c r="M139" s="49" t="n">
        <f aca="false">(L139-2451545)/36525</f>
        <v>0.227943189596167</v>
      </c>
      <c r="N139" s="15" t="n">
        <f aca="false">MOD(280.46061837+360.98564736629*(L139-2451545)+0.000387933*M139^2-M139^3/38710000+$G$4,360)</f>
        <v>71.5909924940206</v>
      </c>
      <c r="O139" s="18" t="n">
        <f aca="false">0.60643382+1336.85522467*M139 - 0.00000313*M139^2 - INT(0.60643382+1336.85522467*M139 - 0.00000313*M139^2)</f>
        <v>0.333477596951411</v>
      </c>
      <c r="P139" s="15" t="n">
        <f aca="false">22640*SIN(Q139)-4586*SIN(Q139-2*S139)+2370*SIN(2*S139)+769*SIN(2*Q139)-668*SIN(R139)-412*SIN(2*T139)-212*SIN(2*Q139-2*S139)-206*SIN(Q139+R139-2*S139)+192*SIN(Q139+2*S139)-165*SIN(R139-2*S139)-125*SIN(S139)-110*SIN(Q139+R139)+148*SIN(Q139-R139)-55*SIN(2*T139-2*S139)</f>
        <v>-3350.72333527249</v>
      </c>
      <c r="Q139" s="18" t="n">
        <f aca="false">2*PI()*(0.374897+1325.55241*M139 - INT(0.374897+1325.55241*M139))</f>
        <v>3.30207345167169</v>
      </c>
      <c r="R139" s="26" t="n">
        <f aca="false">2*PI()*(0.99312619+99.99735956*M139 - 0.00000044*M139^2 - INT(0.99312619+99.99735956*M139- 0.00000044*M139^2))</f>
        <v>4.94388198791465</v>
      </c>
      <c r="S139" s="26" t="n">
        <f aca="false">2*PI()*(0.827361+1236.853086*M139 - INT(0.827361+1236.853086*M139))</f>
        <v>4.77269803843725</v>
      </c>
      <c r="T139" s="26" t="n">
        <f aca="false">2*PI()*(0.259086+1342.227825*M139 - INT(0.259086+1342.227825*M139))</f>
        <v>1.32435468940579</v>
      </c>
      <c r="U139" s="26" t="n">
        <f aca="false">T139+(P139+412*SIN(2*T139)+541*SIN(R139))/206264.8062</f>
        <v>1.30650216766631</v>
      </c>
      <c r="V139" s="26" t="n">
        <f aca="false">T139-2*S139</f>
        <v>-8.2210413874687</v>
      </c>
      <c r="W139" s="25" t="n">
        <f aca="false">-526*SIN(V139)+44*SIN(Q139+V139)-31*SIN(-Q139+V139)-23*SIN(R139+V139)+11*SIN(-R139+V139)-25*SIN(-2*Q139+T139)+21*SIN(-Q139+T139)</f>
        <v>457.566223655928</v>
      </c>
      <c r="X139" s="26" t="n">
        <f aca="false">2*PI()*(O139+P139/1296000-INT(O139+P139/1296000))</f>
        <v>2.07905677229313</v>
      </c>
      <c r="Y139" s="26" t="n">
        <f aca="false">(18520*SIN(U139)+W139)/206264.8062</f>
        <v>0.0888881576470708</v>
      </c>
      <c r="Z139" s="26" t="n">
        <f aca="false">Y139*180/PI()</f>
        <v>5.09291628187067</v>
      </c>
      <c r="AA139" s="26" t="n">
        <f aca="false">COS(Y139)*COS(X139)</f>
        <v>-0.484737018774751</v>
      </c>
      <c r="AB139" s="26" t="n">
        <f aca="false">COS(Y139)*SIN(X139)</f>
        <v>0.870143496959524</v>
      </c>
      <c r="AC139" s="26" t="n">
        <f aca="false">SIN(Y139)</f>
        <v>0.0887711514424512</v>
      </c>
      <c r="AD139" s="26" t="n">
        <f aca="false">COS($A$4*(23.4393-46.815*M139/3600))*AB139-SIN($A$4*(23.4393-46.815*M139/3600))*AC139</f>
        <v>0.763051966783389</v>
      </c>
      <c r="AE139" s="26" t="n">
        <f aca="false">SIN($A$4*(23.4393-46.815*M139/3600))*AB139+COS($A$4*(23.4393-46.815*M139/3600))*AC139</f>
        <v>0.427529786818848</v>
      </c>
      <c r="AF139" s="26" t="n">
        <f aca="false">SQRT(1-AE139*AE139)</f>
        <v>0.904001261825796</v>
      </c>
      <c r="AG139" s="10" t="n">
        <f aca="false">ATAN(AE139/AF139)/$A$4</f>
        <v>25.3108960513235</v>
      </c>
      <c r="AH139" s="26" t="n">
        <f aca="false">IF(24*ATAN(AD139/(AA139+AF139))/PI()&gt;0,24*ATAN(AD139/(AA139+AF139))/PI(),24*ATAN(AD139/(AA139+AF139))/PI()+24)</f>
        <v>8.16174638528763</v>
      </c>
      <c r="AI139" s="10" t="n">
        <f aca="false">IF(N139-15*AH139&gt;0,N139-15*AH139,360+N139-15*AH139)</f>
        <v>309.164796714706</v>
      </c>
      <c r="AJ139" s="18" t="n">
        <f aca="false">0.950724+0.051818*COS(Q139)+0.009531*COS(2*S139-Q139)+0.007843*COS(2*S139)+0.002824*COS(2*Q139)+0.000857*COS(2*S139+Q139)+0.000533*COS(2*S139-R139)+0.000401*COS(2*S139-R139-Q139)+0.00032*COS(Q139-R139)-0.000271*COS(S139)</f>
        <v>0.904821862248966</v>
      </c>
      <c r="AK139" s="50" t="n">
        <f aca="false">ASIN(COS($A$4*$G$2)*COS($A$4*AG139)*COS($A$4*AI139)+SIN($A$4*$G$2)*SIN($A$4*AG139))/$A$4</f>
        <v>21.0074789415888</v>
      </c>
      <c r="AL139" s="18" t="n">
        <f aca="false">ASIN((0.9983271+0.0016764*COS($A$4*2*$G$2))*COS($A$4*AK139)*SIN($A$4*AJ139))/$A$4</f>
        <v>0.84424769057973</v>
      </c>
      <c r="AM139" s="18" t="n">
        <f aca="false">AK139-AL139</f>
        <v>20.1632312510091</v>
      </c>
      <c r="AN139" s="10" t="n">
        <f aca="false"> IF(280.4664567 + 360007.6982779*M139/10 + 0.03032028*M139^2/100 + M139^3/49931000&lt;0,MOD(280.4664567 + 360007.6982779*M139/10 + 0.03032028*M139^2/100 + M139^3/49931000+360,360),MOD(280.4664567 + 360007.6982779*M139/10 + 0.03032028*M139^2/100 + M139^3/49931000,360))</f>
        <v>206.596774917982</v>
      </c>
      <c r="AO139" s="27" t="n">
        <f aca="false"> AN139 + (1.9146 - 0.004817*M139 - 0.000014*M139^2)*SIN(R139)+ (0.019993 - 0.000101*M139)*SIN(2*R139)+ 0.00029*SIN(3*R139)</f>
        <v>204.725620219057</v>
      </c>
      <c r="AP139" s="18" t="n">
        <f aca="false">ACOS(COS(X139-$A$4*AO139)*COS(Y139))/$A$4</f>
        <v>85.6218291729435</v>
      </c>
      <c r="AQ139" s="25" t="n">
        <f aca="false">180 - AP139 -0.1468*(1-0.0549*SIN(R139))*SIN($A$4*AP139)/(1-0.0167*SIN($A$4*AO139))</f>
        <v>94.2250473487181</v>
      </c>
      <c r="AR139" s="25" t="n">
        <f aca="false">SIN($A$4*AI139)</f>
        <v>-0.775332669576606</v>
      </c>
      <c r="AS139" s="25" t="n">
        <f aca="false">COS($A$4*AI139)*SIN($A$4*$G$2) - TAN($A$4*AG139)*COS($A$4*$G$2)</f>
        <v>-0.682102273840128</v>
      </c>
      <c r="AT139" s="25" t="n">
        <f aca="false">IF(OR(AND(AR139*AS139&gt;0), AND(AR139&lt;0,AS139&gt;0)), MOD(ATAN2(AS139,AR139)/$A$4+360,360),  ATAN2(AS139,AR139)/$A$4)</f>
        <v>228.660156462488</v>
      </c>
      <c r="AU139" s="29" t="n">
        <f aca="false">(1+SIN($A$4*H139)*SIN($A$4*AJ139))*120*ASIN(0.272481*SIN($A$4*AJ139))/$A$4</f>
        <v>29.7455092340016</v>
      </c>
      <c r="AV139" s="10" t="n">
        <f aca="false">COS(X139)</f>
        <v>-0.486658322387267</v>
      </c>
      <c r="AW139" s="10" t="n">
        <f aca="false">SIN(X139)</f>
        <v>0.873592397661066</v>
      </c>
      <c r="AX139" s="30" t="n">
        <f aca="false"> 385000.56 + (-20905355*COS(Q139) - 3699111*COS(2*S139-Q139) - 2955968*COS(2*S139) - 569925*COS(2*Q139) + (1-0.002516*M139)*48888*COS(R139) - 3149*COS(2*T139)  +246158*COS(2*S139-2*Q139) -(1-0.002516*M139)*152138*COS(2*S139-R139-Q139) -170733*COS(2*S139+Q139) -(1-0.002516*M139)*204586*COS(2*S139-R139) -(1-0.002516*M139)*129620*COS(R139-Q139)  + 108743*COS(S139) +(1-0.002516*M139)*104755*COS(R139+Q139) +10321*COS(2*S139-2*T139) +79661*COS(Q139-2*T139) -34782*COS(4*S139-Q139) -23210*COS(3*Q139)  -21636*COS(4*S139-2*Q139) +(1-0.002516*M139)*24208*COS(2*S139+R139-Q139) +(1-0.002516*M139)*30824*COS(2*S139+R139) -8379*COS(S139-Q139) -(1-0.002516*M139)*16675*COS(S139+R139)  -(1-0.002516*M139)*12831*COS(2*S139-R139+Q139) -10445*COS(2*S139+2*Q139) -11650*COS(4*S139) +14403*COS(2*S139-3*Q139) -(1-0.002516*M139)*7003*COS(R139-2*Q139)  + (1-0.002516*M139)*10056*COS(2*S139-R139-2*Q139) +6322*COS(S139+Q139) -(1-0.002516*M139)*(1-0.002516*M139)*9884*COS(2*S139-2*R139) +(1-0.002516*M139)*5751*COS(R139+2*Q139) -(1-0.002516*M139)*(1-0.002516*M139)*4950*COS(2*S139-2*R139-Q139)  +4130*COS(2*S139+Q139-2*T139) -(1-0.002516*M139)*3958*COS(4*S139-R139-Q139) +3258*COS(3*S139-Q139) +(1-0.002516*M139)*2616*COS(2*S139+R139+Q139) -(1-0.002516*M139)*1897*COS(4*S139-R139-2*Q139)  -(1-0.002516*M139)*(1-0.002516*M139)*2117*COS(2*R139-Q139) +(1-0.002516*M139)*(1-0.002516*M139)*2354*COS(2*S139+2*R139-Q139) -1423*COS(4*S139+Q139) -1117*COS(4*Q139) -(1-0.002516*M139)*1571*COS(4*S139-R139)  -1739*COS(S139-2*Q139) -4421*COS(2*Q139-2*T139) +(1-0.002516*M139)*(1-0.002516*M139)*1165*COS(2*R139+Q139) +8752*COS(2*S139-Q139-2*T139))/1000</f>
        <v>404012.163221575</v>
      </c>
      <c r="AY139" s="10" t="n">
        <f aca="false">AY138+1/8</f>
        <v>18.125</v>
      </c>
      <c r="AZ139" s="17" t="n">
        <f aca="false">AZ138+1</f>
        <v>138</v>
      </c>
      <c r="BA139" s="32" t="n">
        <f aca="false">ATAN(0.99664719*TAN($A$4*input!$E$2))</f>
        <v>-0.400219206115995</v>
      </c>
      <c r="BB139" s="32" t="n">
        <f aca="false">COS(BA139)</f>
        <v>0.920975608992155</v>
      </c>
      <c r="BC139" s="32" t="n">
        <f aca="false">0.99664719*SIN(BA139)</f>
        <v>-0.388313912533463</v>
      </c>
      <c r="BD139" s="32" t="n">
        <f aca="false">6378.14/AX139</f>
        <v>0.0157869999485684</v>
      </c>
      <c r="BE139" s="33" t="n">
        <f aca="false">MOD(N139-15*AH139,360)</f>
        <v>309.164796714706</v>
      </c>
      <c r="BF139" s="27" t="n">
        <f aca="false">COS($A$4*AG139)*SIN($A$4*BE139)</f>
        <v>-0.700901711632014</v>
      </c>
      <c r="BG139" s="27" t="n">
        <f aca="false">COS($A$4*AG139)*COS($A$4*BE139)-BB139*BD139</f>
        <v>0.556385309729596</v>
      </c>
      <c r="BH139" s="27" t="n">
        <f aca="false">SIN($A$4*AG139)-BC139*BD139</f>
        <v>0.433660098536042</v>
      </c>
      <c r="BI139" s="46" t="n">
        <f aca="false">SQRT(BF139^2+BG139^2+BH139^2)</f>
        <v>0.994428933264653</v>
      </c>
      <c r="BJ139" s="35" t="n">
        <f aca="false">AX139*BI139</f>
        <v>401761.384498376</v>
      </c>
    </row>
    <row r="140" customFormat="false" ht="15" hidden="false" customHeight="false" outlineLevel="0" collapsed="false">
      <c r="A140" s="20"/>
      <c r="B140" s="20"/>
      <c r="C140" s="15" t="n">
        <f aca="false">MOD(C139+3,24)</f>
        <v>6</v>
      </c>
      <c r="D140" s="17" t="n">
        <v>18</v>
      </c>
      <c r="E140" s="102" t="n">
        <f aca="false">input!$C$2</f>
        <v>10</v>
      </c>
      <c r="F140" s="102" t="n">
        <f aca="false">input!$D$2</f>
        <v>2022</v>
      </c>
      <c r="H140" s="39" t="n">
        <f aca="false">AM140</f>
        <v>40.7827319832957</v>
      </c>
      <c r="I140" s="48" t="n">
        <f aca="false">H140+1.02/(TAN($A$4*(H140+10.3/(H140+5.11)))*60)</f>
        <v>40.8022833053901</v>
      </c>
      <c r="J140" s="39" t="n">
        <f aca="false">100*(1+COS($A$4*AQ140))/2</f>
        <v>45.1340247058866</v>
      </c>
      <c r="K140" s="48" t="n">
        <f aca="false">IF(AI140&gt;180,AT140-180,AT140+180)</f>
        <v>8.86119547609948</v>
      </c>
      <c r="L140" s="10" t="n">
        <f aca="false">L139+1/8</f>
        <v>2459870.75</v>
      </c>
      <c r="M140" s="49" t="n">
        <f aca="false">(L140-2451545)/36525</f>
        <v>0.227946611909651</v>
      </c>
      <c r="N140" s="15" t="n">
        <f aca="false">MOD(280.46061837+360.98564736629*(L140-2451545)+0.000387933*M140^2-M140^3/38710000+$G$4,360)</f>
        <v>116.714198415633</v>
      </c>
      <c r="O140" s="18" t="n">
        <f aca="false">0.60643382+1336.85522467*M140 - 0.00000313*M140^2 - INT(0.60643382+1336.85522467*M140 - 0.00000313*M140^2)</f>
        <v>0.33805273460797</v>
      </c>
      <c r="P140" s="15" t="n">
        <f aca="false">22640*SIN(Q140)-4586*SIN(Q140-2*S140)+2370*SIN(2*S140)+769*SIN(2*Q140)-668*SIN(R140)-412*SIN(2*T140)-212*SIN(2*Q140-2*S140)-206*SIN(Q140+R140-2*S140)+192*SIN(Q140+2*S140)-165*SIN(R140-2*S140)-125*SIN(S140)-110*SIN(Q140+R140)+148*SIN(Q140-R140)-55*SIN(2*T140-2*S140)</f>
        <v>-3918.78077192047</v>
      </c>
      <c r="Q140" s="18" t="n">
        <f aca="false">2*PI()*(0.374897+1325.55241*M140 - INT(0.374897+1325.55241*M140))</f>
        <v>3.33057684464384</v>
      </c>
      <c r="R140" s="26" t="n">
        <f aca="false">2*PI()*(0.99312619+99.99735956*M140 - 0.00000044*M140^2 - INT(0.99312619+99.99735956*M140- 0.00000044*M140^2))</f>
        <v>4.94603223411276</v>
      </c>
      <c r="S140" s="26" t="n">
        <f aca="false">2*PI()*(0.827361+1236.853086*M140 - INT(0.827361+1236.853086*M140))</f>
        <v>4.79929412720217</v>
      </c>
      <c r="T140" s="26" t="n">
        <f aca="false">2*PI()*(0.259086+1342.227825*M140 - INT(0.259086+1342.227825*M140))</f>
        <v>1.35321665432355</v>
      </c>
      <c r="U140" s="26" t="n">
        <f aca="false">T140+(P140+412*SIN(2*T140)+541*SIN(R140))/206264.8062</f>
        <v>1.33250831870204</v>
      </c>
      <c r="V140" s="26" t="n">
        <f aca="false">T140-2*S140</f>
        <v>-8.24537160008079</v>
      </c>
      <c r="W140" s="25" t="n">
        <f aca="false">-526*SIN(V140)+44*SIN(Q140+V140)-31*SIN(-Q140+V140)-23*SIN(R140+V140)+11*SIN(-R140+V140)-25*SIN(-2*Q140+T140)+21*SIN(-Q140+T140)</f>
        <v>453.367793729394</v>
      </c>
      <c r="X140" s="26" t="n">
        <f aca="false">2*PI()*(O140+P140/1296000-INT(O140+P140/1296000))</f>
        <v>2.10504918982572</v>
      </c>
      <c r="Y140" s="26" t="n">
        <f aca="false">(18520*SIN(U140)+W140)/206264.8062</f>
        <v>0.0894484021909691</v>
      </c>
      <c r="Z140" s="26" t="n">
        <f aca="false">Y140*180/PI()</f>
        <v>5.12501592973127</v>
      </c>
      <c r="AA140" s="26" t="n">
        <f aca="false">COS(Y140)*COS(X140)</f>
        <v>-0.507162465062673</v>
      </c>
      <c r="AB140" s="26" t="n">
        <f aca="false">COS(Y140)*SIN(X140)</f>
        <v>0.857208570525076</v>
      </c>
      <c r="AC140" s="26" t="n">
        <f aca="false">SIN(Y140)</f>
        <v>0.0893291702072118</v>
      </c>
      <c r="AD140" s="26" t="n">
        <f aca="false">COS($A$4*(23.4393-46.815*M140/3600))*AB140-SIN($A$4*(23.4393-46.815*M140/3600))*AC140</f>
        <v>0.750962198049643</v>
      </c>
      <c r="AE140" s="26" t="n">
        <f aca="false">SIN($A$4*(23.4393-46.815*M140/3600))*AB140+COS($A$4*(23.4393-46.815*M140/3600))*AC140</f>
        <v>0.422897163778621</v>
      </c>
      <c r="AF140" s="26" t="n">
        <f aca="false">SQRT(1-AE140*AE140)</f>
        <v>0.906177680627811</v>
      </c>
      <c r="AG140" s="10" t="n">
        <f aca="false">ATAN(AE140/AF140)/$A$4</f>
        <v>25.0176331450149</v>
      </c>
      <c r="AH140" s="26" t="n">
        <f aca="false">IF(24*ATAN(AD140/(AA140+AF140))/PI()&gt;0,24*ATAN(AD140/(AA140+AF140))/PI(),24*ATAN(AD140/(AA140+AF140))/PI()+24)</f>
        <v>8.26887546022448</v>
      </c>
      <c r="AI140" s="10" t="n">
        <f aca="false">IF(N140-15*AH140&gt;0,N140-15*AH140,360+N140-15*AH140)</f>
        <v>352.681066512266</v>
      </c>
      <c r="AJ140" s="18" t="n">
        <f aca="false">0.950724+0.051818*COS(Q140)+0.009531*COS(2*S140-Q140)+0.007843*COS(2*S140)+0.002824*COS(2*Q140)+0.000857*COS(2*S140+Q140)+0.000533*COS(2*S140-R140)+0.000401*COS(2*S140-R140-Q140)+0.00032*COS(Q140-R140)-0.000271*COS(S140)</f>
        <v>0.905088621196378</v>
      </c>
      <c r="AK140" s="50" t="n">
        <f aca="false">ASIN(COS($A$4*$G$2)*COS($A$4*AG140)*COS($A$4*AI140)+SIN($A$4*$G$2)*SIN($A$4*AG140))/$A$4</f>
        <v>41.4606577309612</v>
      </c>
      <c r="AL140" s="18" t="n">
        <f aca="false">ASIN((0.9983271+0.0016764*COS($A$4*2*$G$2))*COS($A$4*AK140)*SIN($A$4*AJ140))/$A$4</f>
        <v>0.677925747665474</v>
      </c>
      <c r="AM140" s="18" t="n">
        <f aca="false">AK140-AL140</f>
        <v>40.7827319832957</v>
      </c>
      <c r="AN140" s="10" t="n">
        <f aca="false"> IF(280.4664567 + 360007.6982779*M140/10 + 0.03032028*M140^2/100 + M140^3/49931000&lt;0,MOD(280.4664567 + 360007.6982779*M140/10 + 0.03032028*M140^2/100 + M140^3/49931000+360,360),MOD(280.4664567 + 360007.6982779*M140/10 + 0.03032028*M140^2/100 + M140^3/49931000,360))</f>
        <v>206.719980838468</v>
      </c>
      <c r="AO140" s="27" t="n">
        <f aca="false"> AN140 + (1.9146 - 0.004817*M140 - 0.000014*M140^2)*SIN(R140)+ (0.019993 - 0.000101*M140)*SIN(2*R140)+ 0.00029*SIN(3*R140)</f>
        <v>204.849696495435</v>
      </c>
      <c r="AP140" s="18" t="n">
        <f aca="false">ACOS(COS(X140-$A$4*AO140)*COS(Y140))/$A$4</f>
        <v>84.2623702198286</v>
      </c>
      <c r="AQ140" s="25" t="n">
        <f aca="false">180 - AP140 -0.1468*(1-0.0549*SIN(R140))*SIN($A$4*AP140)/(1-0.0167*SIN($A$4*AO140))</f>
        <v>95.5848364686631</v>
      </c>
      <c r="AR140" s="25" t="n">
        <f aca="false">SIN($A$4*AI140)</f>
        <v>-0.127392374862382</v>
      </c>
      <c r="AS140" s="25" t="n">
        <f aca="false">COS($A$4*AI140)*SIN($A$4*$G$2) - TAN($A$4*AG140)*COS($A$4*$G$2)</f>
        <v>-0.817131010439755</v>
      </c>
      <c r="AT140" s="25" t="n">
        <f aca="false">IF(OR(AND(AR140*AS140&gt;0), AND(AR140&lt;0,AS140&gt;0)), MOD(ATAN2(AS140,AR140)/$A$4+360,360),  ATAN2(AS140,AR140)/$A$4)</f>
        <v>188.861195476099</v>
      </c>
      <c r="AU140" s="29" t="n">
        <f aca="false">(1+SIN($A$4*H140)*SIN($A$4*AJ140))*120*ASIN(0.272481*SIN($A$4*AJ140))/$A$4</f>
        <v>29.8985346723647</v>
      </c>
      <c r="AV140" s="10" t="n">
        <f aca="false">COS(X140)</f>
        <v>-0.509198158692031</v>
      </c>
      <c r="AW140" s="10" t="n">
        <f aca="false">SIN(X140)</f>
        <v>0.860649310221443</v>
      </c>
      <c r="AX140" s="30" t="n">
        <f aca="false"> 385000.56 + (-20905355*COS(Q140) - 3699111*COS(2*S140-Q140) - 2955968*COS(2*S140) - 569925*COS(2*Q140) + (1-0.002516*M140)*48888*COS(R140) - 3149*COS(2*T140)  +246158*COS(2*S140-2*Q140) -(1-0.002516*M140)*152138*COS(2*S140-R140-Q140) -170733*COS(2*S140+Q140) -(1-0.002516*M140)*204586*COS(2*S140-R140) -(1-0.002516*M140)*129620*COS(R140-Q140)  + 108743*COS(S140) +(1-0.002516*M140)*104755*COS(R140+Q140) +10321*COS(2*S140-2*T140) +79661*COS(Q140-2*T140) -34782*COS(4*S140-Q140) -23210*COS(3*Q140)  -21636*COS(4*S140-2*Q140) +(1-0.002516*M140)*24208*COS(2*S140+R140-Q140) +(1-0.002516*M140)*30824*COS(2*S140+R140) -8379*COS(S140-Q140) -(1-0.002516*M140)*16675*COS(S140+R140)  -(1-0.002516*M140)*12831*COS(2*S140-R140+Q140) -10445*COS(2*S140+2*Q140) -11650*COS(4*S140) +14403*COS(2*S140-3*Q140) -(1-0.002516*M140)*7003*COS(R140-2*Q140)  + (1-0.002516*M140)*10056*COS(2*S140-R140-2*Q140) +6322*COS(S140+Q140) -(1-0.002516*M140)*(1-0.002516*M140)*9884*COS(2*S140-2*R140) +(1-0.002516*M140)*5751*COS(R140+2*Q140) -(1-0.002516*M140)*(1-0.002516*M140)*4950*COS(2*S140-2*R140-Q140)  +4130*COS(2*S140+Q140-2*T140) -(1-0.002516*M140)*3958*COS(4*S140-R140-Q140) +3258*COS(3*S140-Q140) +(1-0.002516*M140)*2616*COS(2*S140+R140+Q140) -(1-0.002516*M140)*1897*COS(4*S140-R140-2*Q140)  -(1-0.002516*M140)*(1-0.002516*M140)*2117*COS(2*R140-Q140) +(1-0.002516*M140)*(1-0.002516*M140)*2354*COS(2*S140+2*R140-Q140) -1423*COS(4*S140+Q140) -1117*COS(4*Q140) -(1-0.002516*M140)*1571*COS(4*S140-R140)  -1739*COS(S140-2*Q140) -4421*COS(2*Q140-2*T140) +(1-0.002516*M140)*(1-0.002516*M140)*1165*COS(2*R140+Q140) +8752*COS(2*S140-Q140-2*T140))/1000</f>
        <v>403888.404195793</v>
      </c>
      <c r="AY140" s="10" t="n">
        <f aca="false">AY139+1/8</f>
        <v>18.25</v>
      </c>
      <c r="AZ140" s="17" t="n">
        <f aca="false">AZ139+1</f>
        <v>139</v>
      </c>
      <c r="BA140" s="32" t="n">
        <f aca="false">ATAN(0.99664719*TAN($A$4*input!$E$2))</f>
        <v>-0.400219206115995</v>
      </c>
      <c r="BB140" s="32" t="n">
        <f aca="false">COS(BA140)</f>
        <v>0.920975608992155</v>
      </c>
      <c r="BC140" s="32" t="n">
        <f aca="false">0.99664719*SIN(BA140)</f>
        <v>-0.388313912533463</v>
      </c>
      <c r="BD140" s="32" t="n">
        <f aca="false">6378.14/AX140</f>
        <v>0.0157918373831502</v>
      </c>
      <c r="BE140" s="33" t="n">
        <f aca="false">MOD(N140-15*AH140,360)</f>
        <v>352.681066512266</v>
      </c>
      <c r="BF140" s="27" t="n">
        <f aca="false">COS($A$4*AG140)*SIN($A$4*BE140)</f>
        <v>-0.115440126782462</v>
      </c>
      <c r="BG140" s="27" t="n">
        <f aca="false">COS($A$4*AG140)*COS($A$4*BE140)-BB140*BD140</f>
        <v>0.884250610050793</v>
      </c>
      <c r="BH140" s="27" t="n">
        <f aca="false">SIN($A$4*AG140)-BC140*BD140</f>
        <v>0.429029353938964</v>
      </c>
      <c r="BI140" s="46" t="n">
        <f aca="false">SQRT(BF140^2+BG140^2+BH140^2)</f>
        <v>0.989591709134648</v>
      </c>
      <c r="BJ140" s="35" t="n">
        <f aca="false">AX140*BI140</f>
        <v>399684.616207781</v>
      </c>
    </row>
    <row r="141" customFormat="false" ht="15" hidden="false" customHeight="false" outlineLevel="0" collapsed="false">
      <c r="A141" s="20"/>
      <c r="B141" s="20"/>
      <c r="C141" s="15" t="n">
        <f aca="false">MOD(C140+3,24)</f>
        <v>9</v>
      </c>
      <c r="D141" s="17" t="n">
        <v>18</v>
      </c>
      <c r="E141" s="102" t="n">
        <f aca="false">input!$C$2</f>
        <v>10</v>
      </c>
      <c r="F141" s="102" t="n">
        <f aca="false">input!$D$2</f>
        <v>2022</v>
      </c>
      <c r="H141" s="39" t="n">
        <f aca="false">AM141</f>
        <v>29.9835100170233</v>
      </c>
      <c r="I141" s="48" t="n">
        <f aca="false">H141+1.02/(TAN($A$4*(H141+10.3/(H141+5.11)))*60)</f>
        <v>30.0126288444979</v>
      </c>
      <c r="J141" s="39" t="n">
        <f aca="false">100*(1+COS($A$4*AQ141))/2</f>
        <v>43.9535139143878</v>
      </c>
      <c r="K141" s="48" t="n">
        <f aca="false">IF(AI141&gt;180,AT141-180,AT141+180)</f>
        <v>321.358336659709</v>
      </c>
      <c r="L141" s="10" t="n">
        <f aca="false">L140+1/8</f>
        <v>2459870.875</v>
      </c>
      <c r="M141" s="49" t="n">
        <f aca="false">(L141-2451545)/36525</f>
        <v>0.227950034223135</v>
      </c>
      <c r="N141" s="15" t="n">
        <f aca="false">MOD(280.46061837+360.98564736629*(L141-2451545)+0.000387933*M141^2-M141^3/38710000+$G$4,360)</f>
        <v>161.83740433678</v>
      </c>
      <c r="O141" s="18" t="n">
        <f aca="false">0.60643382+1336.85522467*M141 - 0.00000313*M141^2 - INT(0.60643382+1336.85522467*M141 - 0.00000313*M141^2)</f>
        <v>0.342627872264529</v>
      </c>
      <c r="P141" s="15" t="n">
        <f aca="false">22640*SIN(Q141)-4586*SIN(Q141-2*S141)+2370*SIN(2*S141)+769*SIN(2*Q141)-668*SIN(R141)-412*SIN(2*T141)-212*SIN(2*Q141-2*S141)-206*SIN(Q141+R141-2*S141)+192*SIN(Q141+2*S141)-165*SIN(R141-2*S141)-125*SIN(S141)-110*SIN(Q141+R141)+148*SIN(Q141-R141)-55*SIN(2*T141-2*S141)</f>
        <v>-4482.54696197228</v>
      </c>
      <c r="Q141" s="18" t="n">
        <f aca="false">2*PI()*(0.374897+1325.55241*M141 - INT(0.374897+1325.55241*M141))</f>
        <v>3.35908023761564</v>
      </c>
      <c r="R141" s="26" t="n">
        <f aca="false">2*PI()*(0.99312619+99.99735956*M141 - 0.00000044*M141^2 - INT(0.99312619+99.99735956*M141- 0.00000044*M141^2))</f>
        <v>4.94818248031086</v>
      </c>
      <c r="S141" s="26" t="n">
        <f aca="false">2*PI()*(0.827361+1236.853086*M141 - INT(0.827361+1236.853086*M141))</f>
        <v>4.82589021596709</v>
      </c>
      <c r="T141" s="26" t="n">
        <f aca="false">2*PI()*(0.259086+1342.227825*M141 - INT(0.259086+1342.227825*M141))</f>
        <v>1.38207861924131</v>
      </c>
      <c r="U141" s="26" t="n">
        <f aca="false">T141+(P141+412*SIN(2*T141)+541*SIN(R141))/206264.8062</f>
        <v>1.35853248118553</v>
      </c>
      <c r="V141" s="26" t="n">
        <f aca="false">T141-2*S141</f>
        <v>-8.26970181269287</v>
      </c>
      <c r="W141" s="25" t="n">
        <f aca="false">-526*SIN(V141)+44*SIN(Q141+V141)-31*SIN(-Q141+V141)-23*SIN(R141+V141)+11*SIN(-R141+V141)-25*SIN(-2*Q141+T141)+21*SIN(-Q141+T141)</f>
        <v>448.975835639238</v>
      </c>
      <c r="X141" s="26" t="n">
        <f aca="false">2*PI()*(O141+P141/1296000-INT(O141+P141/1296000))</f>
        <v>2.13106241190889</v>
      </c>
      <c r="Y141" s="26" t="n">
        <f aca="false">(18520*SIN(U141)+W141)/206264.8062</f>
        <v>0.0899490433355579</v>
      </c>
      <c r="Z141" s="26" t="n">
        <f aca="false">Y141*180/PI()</f>
        <v>5.15370055436681</v>
      </c>
      <c r="AA141" s="26" t="n">
        <f aca="false">COS(Y141)*COS(X141)</f>
        <v>-0.529263289506453</v>
      </c>
      <c r="AB141" s="26" t="n">
        <f aca="false">COS(Y141)*SIN(X141)</f>
        <v>0.8436891234158</v>
      </c>
      <c r="AC141" s="26" t="n">
        <f aca="false">SIN(Y141)</f>
        <v>0.0898277986521282</v>
      </c>
      <c r="AD141" s="26" t="n">
        <f aca="false">COS($A$4*(23.4393-46.815*M141/3600))*AB141-SIN($A$4*(23.4393-46.815*M141/3600))*AC141</f>
        <v>0.738359751383977</v>
      </c>
      <c r="AE141" s="26" t="n">
        <f aca="false">SIN($A$4*(23.4393-46.815*M141/3600))*AB141+COS($A$4*(23.4393-46.815*M141/3600))*AC141</f>
        <v>0.417977568676837</v>
      </c>
      <c r="AF141" s="26" t="n">
        <f aca="false">SQRT(1-AE141*AE141)</f>
        <v>0.90845734742089</v>
      </c>
      <c r="AG141" s="10" t="n">
        <f aca="false">ATAN(AE141/AF141)/$A$4</f>
        <v>24.706968640785</v>
      </c>
      <c r="AH141" s="26" t="n">
        <f aca="false">IF(24*ATAN(AD141/(AA141+AF141))/PI()&gt;0,24*ATAN(AD141/(AA141+AF141))/PI(),24*ATAN(AD141/(AA141+AF141))/PI()+24)</f>
        <v>8.37555426448719</v>
      </c>
      <c r="AI141" s="10" t="n">
        <f aca="false">IF(N141-15*AH141&gt;0,N141-15*AH141,360+N141-15*AH141)</f>
        <v>36.2040903694724</v>
      </c>
      <c r="AJ141" s="18" t="n">
        <f aca="false">0.950724+0.051818*COS(Q141)+0.009531*COS(2*S141-Q141)+0.007843*COS(2*S141)+0.002824*COS(2*Q141)+0.000857*COS(2*S141+Q141)+0.000533*COS(2*S141-R141)+0.000401*COS(2*S141-R141-Q141)+0.00032*COS(Q141-R141)-0.000271*COS(S141)</f>
        <v>0.90539895765429</v>
      </c>
      <c r="AK141" s="50" t="n">
        <f aca="false">ASIN(COS($A$4*$G$2)*COS($A$4*AG141)*COS($A$4*AI141)+SIN($A$4*$G$2)*SIN($A$4*AG141))/$A$4</f>
        <v>30.7611217980316</v>
      </c>
      <c r="AL141" s="18" t="n">
        <f aca="false">ASIN((0.9983271+0.0016764*COS($A$4*2*$G$2))*COS($A$4*AK141)*SIN($A$4*AJ141))/$A$4</f>
        <v>0.777611781008331</v>
      </c>
      <c r="AM141" s="18" t="n">
        <f aca="false">AK141-AL141</f>
        <v>29.9835100170233</v>
      </c>
      <c r="AN141" s="10" t="n">
        <f aca="false"> IF(280.4664567 + 360007.6982779*M141/10 + 0.03032028*M141^2/100 + M141^3/49931000&lt;0,MOD(280.4664567 + 360007.6982779*M141/10 + 0.03032028*M141^2/100 + M141^3/49931000+360,360),MOD(280.4664567 + 360007.6982779*M141/10 + 0.03032028*M141^2/100 + M141^3/49931000,360))</f>
        <v>206.843186758955</v>
      </c>
      <c r="AO141" s="27" t="n">
        <f aca="false"> AN141 + (1.9146 - 0.004817*M141 - 0.000014*M141^2)*SIN(R141)+ (0.019993 - 0.000101*M141)*SIN(2*R141)+ 0.00029*SIN(3*R141)</f>
        <v>204.973781535744</v>
      </c>
      <c r="AP141" s="18" t="n">
        <f aca="false">ACOS(COS(X141-$A$4*AO141)*COS(Y141))/$A$4</f>
        <v>82.9018607205529</v>
      </c>
      <c r="AQ141" s="25" t="n">
        <f aca="false">180 - AP141 -0.1468*(1-0.0549*SIN(R141))*SIN($A$4*AP141)/(1-0.0167*SIN($A$4*AO141))</f>
        <v>96.9457624849427</v>
      </c>
      <c r="AR141" s="25" t="n">
        <f aca="false">SIN($A$4*AI141)</f>
        <v>0.590663275346344</v>
      </c>
      <c r="AS141" s="25" t="n">
        <f aca="false">COS($A$4*AI141)*SIN($A$4*$G$2) - TAN($A$4*AG141)*COS($A$4*$G$2)</f>
        <v>-0.738808615688259</v>
      </c>
      <c r="AT141" s="25" t="n">
        <f aca="false">IF(OR(AND(AR141*AS141&gt;0), AND(AR141&lt;0,AS141&gt;0)), MOD(ATAN2(AS141,AR141)/$A$4+360,360),  ATAN2(AS141,AR141)/$A$4)</f>
        <v>141.358336659709</v>
      </c>
      <c r="AU141" s="29" t="n">
        <f aca="false">(1+SIN($A$4*H141)*SIN($A$4*AJ141))*120*ASIN(0.272481*SIN($A$4*AJ141))/$A$4</f>
        <v>29.8371135179426</v>
      </c>
      <c r="AV141" s="10" t="n">
        <f aca="false">COS(X141)</f>
        <v>-0.531411621086688</v>
      </c>
      <c r="AW141" s="10" t="n">
        <f aca="false">SIN(X141)</f>
        <v>0.84711374028168</v>
      </c>
      <c r="AX141" s="30" t="n">
        <f aca="false"> 385000.56 + (-20905355*COS(Q141) - 3699111*COS(2*S141-Q141) - 2955968*COS(2*S141) - 569925*COS(2*Q141) + (1-0.002516*M141)*48888*COS(R141) - 3149*COS(2*T141)  +246158*COS(2*S141-2*Q141) -(1-0.002516*M141)*152138*COS(2*S141-R141-Q141) -170733*COS(2*S141+Q141) -(1-0.002516*M141)*204586*COS(2*S141-R141) -(1-0.002516*M141)*129620*COS(R141-Q141)  + 108743*COS(S141) +(1-0.002516*M141)*104755*COS(R141+Q141) +10321*COS(2*S141-2*T141) +79661*COS(Q141-2*T141) -34782*COS(4*S141-Q141) -23210*COS(3*Q141)  -21636*COS(4*S141-2*Q141) +(1-0.002516*M141)*24208*COS(2*S141+R141-Q141) +(1-0.002516*M141)*30824*COS(2*S141+R141) -8379*COS(S141-Q141) -(1-0.002516*M141)*16675*COS(S141+R141)  -(1-0.002516*M141)*12831*COS(2*S141-R141+Q141) -10445*COS(2*S141+2*Q141) -11650*COS(4*S141) +14403*COS(2*S141-3*Q141) -(1-0.002516*M141)*7003*COS(R141-2*Q141)  + (1-0.002516*M141)*10056*COS(2*S141-R141-2*Q141) +6322*COS(S141+Q141) -(1-0.002516*M141)*(1-0.002516*M141)*9884*COS(2*S141-2*R141) +(1-0.002516*M141)*5751*COS(R141+2*Q141) -(1-0.002516*M141)*(1-0.002516*M141)*4950*COS(2*S141-2*R141-Q141)  +4130*COS(2*S141+Q141-2*T141) -(1-0.002516*M141)*3958*COS(4*S141-R141-Q141) +3258*COS(3*S141-Q141) +(1-0.002516*M141)*2616*COS(2*S141+R141+Q141) -(1-0.002516*M141)*1897*COS(4*S141-R141-2*Q141)  -(1-0.002516*M141)*(1-0.002516*M141)*2117*COS(2*R141-Q141) +(1-0.002516*M141)*(1-0.002516*M141)*2354*COS(2*S141+2*R141-Q141) -1423*COS(4*S141+Q141) -1117*COS(4*Q141) -(1-0.002516*M141)*1571*COS(4*S141-R141)  -1739*COS(S141-2*Q141) -4421*COS(2*Q141-2*T141) +(1-0.002516*M141)*(1-0.002516*M141)*1165*COS(2*R141+Q141) +8752*COS(2*S141-Q141-2*T141))/1000</f>
        <v>403744.435936271</v>
      </c>
      <c r="AY141" s="10" t="n">
        <f aca="false">AY140+1/8</f>
        <v>18.375</v>
      </c>
      <c r="AZ141" s="17" t="n">
        <f aca="false">AZ140+1</f>
        <v>140</v>
      </c>
      <c r="BA141" s="32" t="n">
        <f aca="false">ATAN(0.99664719*TAN($A$4*input!$E$2))</f>
        <v>-0.400219206115995</v>
      </c>
      <c r="BB141" s="32" t="n">
        <f aca="false">COS(BA141)</f>
        <v>0.920975608992155</v>
      </c>
      <c r="BC141" s="32" t="n">
        <f aca="false">0.99664719*SIN(BA141)</f>
        <v>-0.388313912533463</v>
      </c>
      <c r="BD141" s="32" t="n">
        <f aca="false">6378.14/AX141</f>
        <v>0.0157974684783192</v>
      </c>
      <c r="BE141" s="33" t="n">
        <f aca="false">MOD(N141-15*AH141,360)</f>
        <v>36.2040903694724</v>
      </c>
      <c r="BF141" s="27" t="n">
        <f aca="false">COS($A$4*AG141)*SIN($A$4*BE141)</f>
        <v>0.536592392340074</v>
      </c>
      <c r="BG141" s="27" t="n">
        <f aca="false">COS($A$4*AG141)*COS($A$4*BE141)-BB141*BD141</f>
        <v>0.71850163580627</v>
      </c>
      <c r="BH141" s="27" t="n">
        <f aca="false">SIN($A$4*AG141)-BC141*BD141</f>
        <v>0.424111945469777</v>
      </c>
      <c r="BI141" s="46" t="n">
        <f aca="false">SQRT(BF141^2+BG141^2+BH141^2)</f>
        <v>0.991991400398052</v>
      </c>
      <c r="BJ141" s="35" t="n">
        <f aca="false">AX141*BI141</f>
        <v>400511.008407343</v>
      </c>
    </row>
    <row r="142" customFormat="false" ht="15" hidden="false" customHeight="false" outlineLevel="0" collapsed="false">
      <c r="A142" s="20"/>
      <c r="B142" s="20"/>
      <c r="C142" s="15" t="n">
        <f aca="false">MOD(C141+3,24)</f>
        <v>12</v>
      </c>
      <c r="D142" s="17" t="n">
        <v>18</v>
      </c>
      <c r="E142" s="102" t="n">
        <f aca="false">input!$C$2</f>
        <v>10</v>
      </c>
      <c r="F142" s="102" t="n">
        <f aca="false">input!$D$2</f>
        <v>2022</v>
      </c>
      <c r="H142" s="39" t="n">
        <f aca="false">AM142</f>
        <v>-1.58479530432545</v>
      </c>
      <c r="I142" s="48" t="n">
        <f aca="false">H142+1.02/(TAN($A$4*(H142+10.3/(H142+5.11)))*60)</f>
        <v>-0.856421134795241</v>
      </c>
      <c r="J142" s="39" t="n">
        <f aca="false">100*(1+COS($A$4*AQ142))/2</f>
        <v>42.7753024334226</v>
      </c>
      <c r="K142" s="48" t="n">
        <f aca="false">IF(AI142&gt;180,AT142-180,AT142+180)</f>
        <v>296.322113411895</v>
      </c>
      <c r="L142" s="10" t="n">
        <f aca="false">L141+1/8</f>
        <v>2459871</v>
      </c>
      <c r="M142" s="49" t="n">
        <f aca="false">(L142-2451545)/36525</f>
        <v>0.227953456536619</v>
      </c>
      <c r="N142" s="15" t="n">
        <f aca="false">MOD(280.46061837+360.98564736629*(L142-2451545)+0.000387933*M142^2-M142^3/38710000+$G$4,360)</f>
        <v>206.960610257927</v>
      </c>
      <c r="O142" s="18" t="n">
        <f aca="false">0.60643382+1336.85522467*M142 - 0.00000313*M142^2 - INT(0.60643382+1336.85522467*M142 - 0.00000313*M142^2)</f>
        <v>0.347203009921032</v>
      </c>
      <c r="P142" s="15" t="n">
        <f aca="false">22640*SIN(Q142)-4586*SIN(Q142-2*S142)+2370*SIN(2*S142)+769*SIN(2*Q142)-668*SIN(R142)-412*SIN(2*T142)-212*SIN(2*Q142-2*S142)-206*SIN(Q142+R142-2*S142)+192*SIN(Q142+2*S142)-165*SIN(R142-2*S142)-125*SIN(S142)-110*SIN(Q142+R142)+148*SIN(Q142-R142)-55*SIN(2*T142-2*S142)</f>
        <v>-5041.5286359197</v>
      </c>
      <c r="Q142" s="18" t="n">
        <f aca="false">2*PI()*(0.374897+1325.55241*M142 - INT(0.374897+1325.55241*M142))</f>
        <v>3.3875836305878</v>
      </c>
      <c r="R142" s="26" t="n">
        <f aca="false">2*PI()*(0.99312619+99.99735956*M142 - 0.00000044*M142^2 - INT(0.99312619+99.99735956*M142- 0.00000044*M142^2))</f>
        <v>4.95033272650894</v>
      </c>
      <c r="S142" s="26" t="n">
        <f aca="false">2*PI()*(0.827361+1236.853086*M142 - INT(0.827361+1236.853086*M142))</f>
        <v>4.85248630473166</v>
      </c>
      <c r="T142" s="26" t="n">
        <f aca="false">2*PI()*(0.259086+1342.227825*M142 - INT(0.259086+1342.227825*M142))</f>
        <v>1.41094058415871</v>
      </c>
      <c r="U142" s="26" t="n">
        <f aca="false">T142+(P142+412*SIN(2*T142)+541*SIN(R142))/206264.8062</f>
        <v>1.38457739930961</v>
      </c>
      <c r="V142" s="26" t="n">
        <f aca="false">T142-2*S142</f>
        <v>-8.2940320253046</v>
      </c>
      <c r="W142" s="25" t="n">
        <f aca="false">-526*SIN(V142)+44*SIN(Q142+V142)-31*SIN(-Q142+V142)-23*SIN(R142+V142)+11*SIN(-R142+V142)-25*SIN(-2*Q142+T142)+21*SIN(-Q142+T142)</f>
        <v>444.390809637933</v>
      </c>
      <c r="X142" s="26" t="n">
        <f aca="false">2*PI()*(O142+P142/1296000-INT(O142+P142/1296000))</f>
        <v>2.15709882998036</v>
      </c>
      <c r="Y142" s="26" t="n">
        <f aca="false">(18520*SIN(U142)+W142)/206264.8062</f>
        <v>0.0903896524297852</v>
      </c>
      <c r="Z142" s="26" t="n">
        <f aca="false">Y142*180/PI()</f>
        <v>5.17894559588112</v>
      </c>
      <c r="AA142" s="26" t="n">
        <f aca="false">COS(Y142)*COS(X142)</f>
        <v>-0.551026116213079</v>
      </c>
      <c r="AB142" s="26" t="n">
        <f aca="false">COS(Y142)*SIN(X142)</f>
        <v>0.829591560328304</v>
      </c>
      <c r="AC142" s="26" t="n">
        <f aca="false">SIN(Y142)</f>
        <v>0.0902666177674744</v>
      </c>
      <c r="AD142" s="26" t="n">
        <f aca="false">COS($A$4*(23.4393-46.815*M142/3600))*AB142-SIN($A$4*(23.4393-46.815*M142/3600))*AC142</f>
        <v>0.725250669764045</v>
      </c>
      <c r="AE142" s="26" t="n">
        <f aca="false">SIN($A$4*(23.4393-46.815*M142/3600))*AB142+COS($A$4*(23.4393-46.815*M142/3600))*AC142</f>
        <v>0.412773164411077</v>
      </c>
      <c r="AF142" s="26" t="n">
        <f aca="false">SQRT(1-AE142*AE142)</f>
        <v>0.910833856826845</v>
      </c>
      <c r="AG142" s="10" t="n">
        <f aca="false">ATAN(AE142/AF142)/$A$4</f>
        <v>24.3791601127113</v>
      </c>
      <c r="AH142" s="26" t="n">
        <f aca="false">IF(24*ATAN(AD142/(AA142+AF142))/PI()&gt;0,24*ATAN(AD142/(AA142+AF142))/PI(),24*ATAN(AD142/(AA142+AF142))/PI()+24)</f>
        <v>8.48177338649124</v>
      </c>
      <c r="AI142" s="10" t="n">
        <f aca="false">IF(N142-15*AH142&gt;0,N142-15*AH142,360+N142-15*AH142)</f>
        <v>79.7340094605587</v>
      </c>
      <c r="AJ142" s="18" t="n">
        <f aca="false">0.950724+0.051818*COS(Q142)+0.009531*COS(2*S142-Q142)+0.007843*COS(2*S142)+0.002824*COS(2*Q142)+0.000857*COS(2*S142+Q142)+0.000533*COS(2*S142-R142)+0.000401*COS(2*S142-R142-Q142)+0.00032*COS(Q142-R142)-0.000271*COS(S142)</f>
        <v>0.905752717157284</v>
      </c>
      <c r="AK142" s="50" t="n">
        <f aca="false">ASIN(COS($A$4*$G$2)*COS($A$4*AG142)*COS($A$4*AI142)+SIN($A$4*$G$2)*SIN($A$4*AG142))/$A$4</f>
        <v>-0.679566768121074</v>
      </c>
      <c r="AL142" s="18" t="n">
        <f aca="false">ASIN((0.9983271+0.0016764*COS($A$4*2*$G$2))*COS($A$4*AK142)*SIN($A$4*AJ142))/$A$4</f>
        <v>0.905228536204376</v>
      </c>
      <c r="AM142" s="18" t="n">
        <f aca="false">AK142-AL142</f>
        <v>-1.58479530432545</v>
      </c>
      <c r="AN142" s="10" t="n">
        <f aca="false"> IF(280.4664567 + 360007.6982779*M142/10 + 0.03032028*M142^2/100 + M142^3/49931000&lt;0,MOD(280.4664567 + 360007.6982779*M142/10 + 0.03032028*M142^2/100 + M142^3/49931000+360,360),MOD(280.4664567 + 360007.6982779*M142/10 + 0.03032028*M142^2/100 + M142^3/49931000,360))</f>
        <v>206.96639267944</v>
      </c>
      <c r="AO142" s="27" t="n">
        <f aca="false"> AN142 + (1.9146 - 0.004817*M142 - 0.000014*M142^2)*SIN(R142)+ (0.019993 - 0.000101*M142)*SIN(2*R142)+ 0.00029*SIN(3*R142)</f>
        <v>205.097875337026</v>
      </c>
      <c r="AP142" s="18" t="n">
        <f aca="false">ACOS(COS(X142-$A$4*AO142)*COS(Y142))/$A$4</f>
        <v>81.5401499496209</v>
      </c>
      <c r="AQ142" s="25" t="n">
        <f aca="false">180 - AP142 -0.1468*(1-0.0549*SIN(R142))*SIN($A$4*AP142)/(1-0.0167*SIN($A$4*AO142))</f>
        <v>98.3079761364732</v>
      </c>
      <c r="AR142" s="25" t="n">
        <f aca="false">SIN($A$4*AI142)</f>
        <v>0.983990997493181</v>
      </c>
      <c r="AS142" s="25" t="n">
        <f aca="false">COS($A$4*AI142)*SIN($A$4*$G$2) - TAN($A$4*AG142)*COS($A$4*$G$2)</f>
        <v>-0.486791269832378</v>
      </c>
      <c r="AT142" s="25" t="n">
        <f aca="false">IF(OR(AND(AR142*AS142&gt;0), AND(AR142&lt;0,AS142&gt;0)), MOD(ATAN2(AS142,AR142)/$A$4+360,360),  ATAN2(AS142,AR142)/$A$4)</f>
        <v>116.322113411895</v>
      </c>
      <c r="AU142" s="29" t="n">
        <f aca="false">(1+SIN($A$4*H142)*SIN($A$4*AJ142))*120*ASIN(0.272481*SIN($A$4*AJ142))/$A$4</f>
        <v>29.6019596353373</v>
      </c>
      <c r="AV142" s="10" t="n">
        <f aca="false">COS(X142)</f>
        <v>-0.553284826263733</v>
      </c>
      <c r="AW142" s="10" t="n">
        <f aca="false">SIN(X142)</f>
        <v>0.832992137433668</v>
      </c>
      <c r="AX142" s="30" t="n">
        <f aca="false"> 385000.56 + (-20905355*COS(Q142) - 3699111*COS(2*S142-Q142) - 2955968*COS(2*S142) - 569925*COS(2*Q142) + (1-0.002516*M142)*48888*COS(R142) - 3149*COS(2*T142)  +246158*COS(2*S142-2*Q142) -(1-0.002516*M142)*152138*COS(2*S142-R142-Q142) -170733*COS(2*S142+Q142) -(1-0.002516*M142)*204586*COS(2*S142-R142) -(1-0.002516*M142)*129620*COS(R142-Q142)  + 108743*COS(S142) +(1-0.002516*M142)*104755*COS(R142+Q142) +10321*COS(2*S142-2*T142) +79661*COS(Q142-2*T142) -34782*COS(4*S142-Q142) -23210*COS(3*Q142)  -21636*COS(4*S142-2*Q142) +(1-0.002516*M142)*24208*COS(2*S142+R142-Q142) +(1-0.002516*M142)*30824*COS(2*S142+R142) -8379*COS(S142-Q142) -(1-0.002516*M142)*16675*COS(S142+R142)  -(1-0.002516*M142)*12831*COS(2*S142-R142+Q142) -10445*COS(2*S142+2*Q142) -11650*COS(4*S142) +14403*COS(2*S142-3*Q142) -(1-0.002516*M142)*7003*COS(R142-2*Q142)  + (1-0.002516*M142)*10056*COS(2*S142-R142-2*Q142) +6322*COS(S142+Q142) -(1-0.002516*M142)*(1-0.002516*M142)*9884*COS(2*S142-2*R142) +(1-0.002516*M142)*5751*COS(R142+2*Q142) -(1-0.002516*M142)*(1-0.002516*M142)*4950*COS(2*S142-2*R142-Q142)  +4130*COS(2*S142+Q142-2*T142) -(1-0.002516*M142)*3958*COS(4*S142-R142-Q142) +3258*COS(3*S142-Q142) +(1-0.002516*M142)*2616*COS(2*S142+R142+Q142) -(1-0.002516*M142)*1897*COS(4*S142-R142-2*Q142)  -(1-0.002516*M142)*(1-0.002516*M142)*2117*COS(2*R142-Q142) +(1-0.002516*M142)*(1-0.002516*M142)*2354*COS(2*S142+2*R142-Q142) -1423*COS(4*S142+Q142) -1117*COS(4*Q142) -(1-0.002516*M142)*1571*COS(4*S142-R142)  -1739*COS(S142-2*Q142) -4421*COS(2*Q142-2*T142) +(1-0.002516*M142)*(1-0.002516*M142)*1165*COS(2*R142+Q142) +8752*COS(2*S142-Q142-2*T142))/1000</f>
        <v>403580.404134951</v>
      </c>
      <c r="AY142" s="10" t="n">
        <f aca="false">AY141+1/8</f>
        <v>18.5</v>
      </c>
      <c r="AZ142" s="17" t="n">
        <f aca="false">AZ141+1</f>
        <v>141</v>
      </c>
      <c r="BA142" s="32" t="n">
        <f aca="false">ATAN(0.99664719*TAN($A$4*input!$E$2))</f>
        <v>-0.400219206115995</v>
      </c>
      <c r="BB142" s="32" t="n">
        <f aca="false">COS(BA142)</f>
        <v>0.920975608992155</v>
      </c>
      <c r="BC142" s="32" t="n">
        <f aca="false">0.99664719*SIN(BA142)</f>
        <v>-0.388313912533463</v>
      </c>
      <c r="BD142" s="32" t="n">
        <f aca="false">6378.14/AX142</f>
        <v>0.0158038892241836</v>
      </c>
      <c r="BE142" s="33" t="n">
        <f aca="false">MOD(N142-15*AH142,360)</f>
        <v>79.7340094605587</v>
      </c>
      <c r="BF142" s="27" t="n">
        <f aca="false">COS($A$4*AG142)*SIN($A$4*BE142)</f>
        <v>0.896252315329609</v>
      </c>
      <c r="BG142" s="27" t="n">
        <f aca="false">COS($A$4*AG142)*COS($A$4*BE142)-BB142*BD142</f>
        <v>0.147772148511268</v>
      </c>
      <c r="BH142" s="27" t="n">
        <f aca="false">SIN($A$4*AG142)-BC142*BD142</f>
        <v>0.418910034468965</v>
      </c>
      <c r="BI142" s="46" t="n">
        <f aca="false">SQRT(BF142^2+BG142^2+BH142^2)</f>
        <v>1.00029517522985</v>
      </c>
      <c r="BJ142" s="35" t="n">
        <f aca="false">AX142*BI142</f>
        <v>403699.531073503</v>
      </c>
    </row>
    <row r="143" customFormat="false" ht="15" hidden="false" customHeight="false" outlineLevel="0" collapsed="false">
      <c r="A143" s="20"/>
      <c r="B143" s="20"/>
      <c r="C143" s="15" t="n">
        <f aca="false">MOD(C142+3,24)</f>
        <v>15</v>
      </c>
      <c r="D143" s="17" t="n">
        <v>18</v>
      </c>
      <c r="E143" s="102" t="n">
        <f aca="false">input!$C$2</f>
        <v>10</v>
      </c>
      <c r="F143" s="102" t="n">
        <f aca="false">input!$D$2</f>
        <v>2022</v>
      </c>
      <c r="H143" s="39" t="n">
        <f aca="false">AM143</f>
        <v>-39.0516874585425</v>
      </c>
      <c r="I143" s="48" t="n">
        <f aca="false">H143+1.02/(TAN($A$4*(H143+10.3/(H143+5.11)))*60)</f>
        <v>-39.072416659549</v>
      </c>
      <c r="J143" s="39" t="n">
        <f aca="false">100*(1+COS($A$4*AQ143))/2</f>
        <v>41.5999376309788</v>
      </c>
      <c r="K143" s="48" t="n">
        <f aca="false">IF(AI143&gt;180,AT143-180,AT143+180)</f>
        <v>283.202739733114</v>
      </c>
      <c r="L143" s="10" t="n">
        <f aca="false">L142+1/8</f>
        <v>2459871.125</v>
      </c>
      <c r="M143" s="49" t="n">
        <f aca="false">(L143-2451545)/36525</f>
        <v>0.227956878850103</v>
      </c>
      <c r="N143" s="15" t="n">
        <f aca="false">MOD(280.46061837+360.98564736629*(L143-2451545)+0.000387933*M143^2-M143^3/38710000+$G$4,360)</f>
        <v>252.08381617954</v>
      </c>
      <c r="O143" s="18" t="n">
        <f aca="false">0.60643382+1336.85522467*M143 - 0.00000313*M143^2 - INT(0.60643382+1336.85522467*M143 - 0.00000313*M143^2)</f>
        <v>0.351778147577591</v>
      </c>
      <c r="P143" s="15" t="n">
        <f aca="false">22640*SIN(Q143)-4586*SIN(Q143-2*S143)+2370*SIN(2*S143)+769*SIN(2*Q143)-668*SIN(R143)-412*SIN(2*T143)-212*SIN(2*Q143-2*S143)-206*SIN(Q143+R143-2*S143)+192*SIN(Q143+2*S143)-165*SIN(R143-2*S143)-125*SIN(S143)-110*SIN(Q143+R143)+148*SIN(Q143-R143)-55*SIN(2*T143-2*S143)</f>
        <v>-5595.23575519906</v>
      </c>
      <c r="Q143" s="18" t="n">
        <f aca="false">2*PI()*(0.374897+1325.55241*M143 - INT(0.374897+1325.55241*M143))</f>
        <v>3.4160870235596</v>
      </c>
      <c r="R143" s="26" t="n">
        <f aca="false">2*PI()*(0.99312619+99.99735956*M143 - 0.00000044*M143^2 - INT(0.99312619+99.99735956*M143- 0.00000044*M143^2))</f>
        <v>4.95248297270702</v>
      </c>
      <c r="S143" s="26" t="n">
        <f aca="false">2*PI()*(0.827361+1236.853086*M143 - INT(0.827361+1236.853086*M143))</f>
        <v>4.87908239349658</v>
      </c>
      <c r="T143" s="26" t="n">
        <f aca="false">2*PI()*(0.259086+1342.227825*M143 - INT(0.259086+1342.227825*M143))</f>
        <v>1.43980254907612</v>
      </c>
      <c r="U143" s="26" t="n">
        <f aca="false">T143+(P143+412*SIN(2*T143)+541*SIN(R143))/206264.8062</f>
        <v>1.41064580977207</v>
      </c>
      <c r="V143" s="26" t="n">
        <f aca="false">T143-2*S143</f>
        <v>-8.31836223791705</v>
      </c>
      <c r="W143" s="25" t="n">
        <f aca="false">-526*SIN(V143)+44*SIN(Q143+V143)-31*SIN(-Q143+V143)-23*SIN(R143+V143)+11*SIN(-R143+V143)-25*SIN(-2*Q143+T143)+21*SIN(-Q143+T143)</f>
        <v>439.613132957194</v>
      </c>
      <c r="X143" s="26" t="n">
        <f aca="false">2*PI()*(O143+P143/1296000-INT(O143+P143/1296000))</f>
        <v>2.18316081981483</v>
      </c>
      <c r="Y143" s="26" t="n">
        <f aca="false">(18520*SIN(U143)+W143)/206264.8062</f>
        <v>0.0907698140434131</v>
      </c>
      <c r="Z143" s="26" t="n">
        <f aca="false">Y143*180/PI()</f>
        <v>5.20072725187488</v>
      </c>
      <c r="AA143" s="26" t="n">
        <f aca="false">COS(Y143)*COS(X143)</f>
        <v>-0.572437583850772</v>
      </c>
      <c r="AB143" s="26" t="n">
        <f aca="false">COS(Y143)*SIN(X143)</f>
        <v>0.814922484979212</v>
      </c>
      <c r="AC143" s="26" t="n">
        <f aca="false">SIN(Y143)</f>
        <v>0.0906452208911066</v>
      </c>
      <c r="AD143" s="26" t="n">
        <f aca="false">COS($A$4*(23.4393-46.815*M143/3600))*AB143-SIN($A$4*(23.4393-46.815*M143/3600))*AC143</f>
        <v>0.711641173857885</v>
      </c>
      <c r="AE143" s="26" t="n">
        <f aca="false">SIN($A$4*(23.4393-46.815*M143/3600))*AB143+COS($A$4*(23.4393-46.815*M143/3600))*AC143</f>
        <v>0.407286204364036</v>
      </c>
      <c r="AF143" s="26" t="n">
        <f aca="false">SQRT(1-AE143*AE143)</f>
        <v>0.913300579072814</v>
      </c>
      <c r="AG143" s="10" t="n">
        <f aca="false">ATAN(AE143/AF143)/$A$4</f>
        <v>24.0344720253563</v>
      </c>
      <c r="AH143" s="26" t="n">
        <f aca="false">IF(24*ATAN(AD143/(AA143+AF143))/PI()&gt;0,24*ATAN(AD143/(AA143+AF143))/PI(),24*ATAN(AD143/(AA143+AF143))/PI()+24)</f>
        <v>8.5875251713568</v>
      </c>
      <c r="AI143" s="10" t="n">
        <f aca="false">IF(N143-15*AH143&gt;0,N143-15*AH143,360+N143-15*AH143)</f>
        <v>123.270938609188</v>
      </c>
      <c r="AJ143" s="18" t="n">
        <f aca="false">0.950724+0.051818*COS(Q143)+0.009531*COS(2*S143-Q143)+0.007843*COS(2*S143)+0.002824*COS(2*Q143)+0.000857*COS(2*S143+Q143)+0.000533*COS(2*S143-R143)+0.000401*COS(2*S143-R143-Q143)+0.00032*COS(Q143-R143)-0.000271*COS(S143)</f>
        <v>0.906149715672269</v>
      </c>
      <c r="AK143" s="50" t="n">
        <f aca="false">ASIN(COS($A$4*$G$2)*COS($A$4*AG143)*COS($A$4*AI143)+SIN($A$4*$G$2)*SIN($A$4*AG143))/$A$4</f>
        <v>-38.3413407065792</v>
      </c>
      <c r="AL143" s="18" t="n">
        <f aca="false">ASIN((0.9983271+0.0016764*COS($A$4*2*$G$2))*COS($A$4*AK143)*SIN($A$4*AJ143))/$A$4</f>
        <v>0.71034675196334</v>
      </c>
      <c r="AM143" s="18" t="n">
        <f aca="false">AK143-AL143</f>
        <v>-39.0516874585425</v>
      </c>
      <c r="AN143" s="10" t="n">
        <f aca="false"> IF(280.4664567 + 360007.6982779*M143/10 + 0.03032028*M143^2/100 + M143^3/49931000&lt;0,MOD(280.4664567 + 360007.6982779*M143/10 + 0.03032028*M143^2/100 + M143^3/49931000+360,360),MOD(280.4664567 + 360007.6982779*M143/10 + 0.03032028*M143^2/100 + M143^3/49931000,360))</f>
        <v>207.089598599927</v>
      </c>
      <c r="AO143" s="27" t="n">
        <f aca="false"> AN143 + (1.9146 - 0.004817*M143 - 0.000014*M143^2)*SIN(R143)+ (0.019993 - 0.000101*M143)*SIN(2*R143)+ 0.00029*SIN(3*R143)</f>
        <v>205.221977896284</v>
      </c>
      <c r="AP143" s="18" t="n">
        <f aca="false">ACOS(COS(X143-$A$4*AO143)*COS(Y143))/$A$4</f>
        <v>80.1770876896122</v>
      </c>
      <c r="AQ143" s="25" t="n">
        <f aca="false">180 - AP143 -0.1468*(1-0.0549*SIN(R143))*SIN($A$4*AP143)/(1-0.0167*SIN($A$4*AO143))</f>
        <v>99.6716276421611</v>
      </c>
      <c r="AR143" s="25" t="n">
        <f aca="false">SIN($A$4*AI143)</f>
        <v>0.836085727524557</v>
      </c>
      <c r="AS143" s="25" t="n">
        <f aca="false">COS($A$4*AI143)*SIN($A$4*$G$2) - TAN($A$4*AG143)*COS($A$4*$G$2)</f>
        <v>-0.196144316239279</v>
      </c>
      <c r="AT143" s="25" t="n">
        <f aca="false">IF(OR(AND(AR143*AS143&gt;0), AND(AR143&lt;0,AS143&gt;0)), MOD(ATAN2(AS143,AR143)/$A$4+360,360),  ATAN2(AS143,AR143)/$A$4)</f>
        <v>103.202739733114</v>
      </c>
      <c r="AU143" s="29" t="n">
        <f aca="false">(1+SIN($A$4*H143)*SIN($A$4*AJ143))*120*ASIN(0.272481*SIN($A$4*AJ143))/$A$4</f>
        <v>29.3326871160732</v>
      </c>
      <c r="AV143" s="10" t="n">
        <f aca="false">COS(X143)</f>
        <v>-0.574803908910841</v>
      </c>
      <c r="AW143" s="10" t="n">
        <f aca="false">SIN(X143)</f>
        <v>0.818291186742726</v>
      </c>
      <c r="AX143" s="30" t="n">
        <f aca="false"> 385000.56 + (-20905355*COS(Q143) - 3699111*COS(2*S143-Q143) - 2955968*COS(2*S143) - 569925*COS(2*Q143) + (1-0.002516*M143)*48888*COS(R143) - 3149*COS(2*T143)  +246158*COS(2*S143-2*Q143) -(1-0.002516*M143)*152138*COS(2*S143-R143-Q143) -170733*COS(2*S143+Q143) -(1-0.002516*M143)*204586*COS(2*S143-R143) -(1-0.002516*M143)*129620*COS(R143-Q143)  + 108743*COS(S143) +(1-0.002516*M143)*104755*COS(R143+Q143) +10321*COS(2*S143-2*T143) +79661*COS(Q143-2*T143) -34782*COS(4*S143-Q143) -23210*COS(3*Q143)  -21636*COS(4*S143-2*Q143) +(1-0.002516*M143)*24208*COS(2*S143+R143-Q143) +(1-0.002516*M143)*30824*COS(2*S143+R143) -8379*COS(S143-Q143) -(1-0.002516*M143)*16675*COS(S143+R143)  -(1-0.002516*M143)*12831*COS(2*S143-R143+Q143) -10445*COS(2*S143+2*Q143) -11650*COS(4*S143) +14403*COS(2*S143-3*Q143) -(1-0.002516*M143)*7003*COS(R143-2*Q143)  + (1-0.002516*M143)*10056*COS(2*S143-R143-2*Q143) +6322*COS(S143+Q143) -(1-0.002516*M143)*(1-0.002516*M143)*9884*COS(2*S143-2*R143) +(1-0.002516*M143)*5751*COS(R143+2*Q143) -(1-0.002516*M143)*(1-0.002516*M143)*4950*COS(2*S143-2*R143-Q143)  +4130*COS(2*S143+Q143-2*T143) -(1-0.002516*M143)*3958*COS(4*S143-R143-Q143) +3258*COS(3*S143-Q143) +(1-0.002516*M143)*2616*COS(2*S143+R143+Q143) -(1-0.002516*M143)*1897*COS(4*S143-R143-2*Q143)  -(1-0.002516*M143)*(1-0.002516*M143)*2117*COS(2*R143-Q143) +(1-0.002516*M143)*(1-0.002516*M143)*2354*COS(2*S143+2*R143-Q143) -1423*COS(4*S143+Q143) -1117*COS(4*Q143) -(1-0.002516*M143)*1571*COS(4*S143-R143)  -1739*COS(S143-2*Q143) -4421*COS(2*Q143-2*T143) +(1-0.002516*M143)*(1-0.002516*M143)*1165*COS(2*R143+Q143) +8752*COS(2*S143-Q143-2*T143))/1000</f>
        <v>403396.479683046</v>
      </c>
      <c r="AY143" s="10" t="n">
        <f aca="false">AY142+1/8</f>
        <v>18.625</v>
      </c>
      <c r="AZ143" s="17" t="n">
        <f aca="false">AZ142+1</f>
        <v>142</v>
      </c>
      <c r="BA143" s="32" t="n">
        <f aca="false">ATAN(0.99664719*TAN($A$4*input!$E$2))</f>
        <v>-0.400219206115995</v>
      </c>
      <c r="BB143" s="32" t="n">
        <f aca="false">COS(BA143)</f>
        <v>0.920975608992155</v>
      </c>
      <c r="BC143" s="32" t="n">
        <f aca="false">0.99664719*SIN(BA143)</f>
        <v>-0.388313912533463</v>
      </c>
      <c r="BD143" s="32" t="n">
        <f aca="false">6378.14/AX143</f>
        <v>0.0158110948439892</v>
      </c>
      <c r="BE143" s="33" t="n">
        <f aca="false">MOD(N143-15*AH143,360)</f>
        <v>123.270938609188</v>
      </c>
      <c r="BF143" s="27" t="n">
        <f aca="false">COS($A$4*AG143)*SIN($A$4*BE143)</f>
        <v>0.763597579102693</v>
      </c>
      <c r="BG143" s="27" t="n">
        <f aca="false">COS($A$4*AG143)*COS($A$4*BE143)-BB143*BD143</f>
        <v>-0.515597245132914</v>
      </c>
      <c r="BH143" s="27" t="n">
        <f aca="false">SIN($A$4*AG143)-BC143*BD143</f>
        <v>0.413425872464343</v>
      </c>
      <c r="BI143" s="46" t="n">
        <f aca="false">SQRT(BF143^2+BG143^2+BH143^2)</f>
        <v>1.00987263257455</v>
      </c>
      <c r="BJ143" s="35" t="n">
        <f aca="false">AX143*BI143</f>
        <v>407379.064908823</v>
      </c>
    </row>
    <row r="144" customFormat="false" ht="15" hidden="false" customHeight="false" outlineLevel="0" collapsed="false">
      <c r="A144" s="20"/>
      <c r="B144" s="20"/>
      <c r="C144" s="15" t="n">
        <f aca="false">MOD(C143+3,24)</f>
        <v>18</v>
      </c>
      <c r="D144" s="17" t="n">
        <v>18</v>
      </c>
      <c r="E144" s="102" t="n">
        <f aca="false">input!$C$2</f>
        <v>10</v>
      </c>
      <c r="F144" s="102" t="n">
        <f aca="false">input!$D$2</f>
        <v>2022</v>
      </c>
      <c r="H144" s="39" t="n">
        <f aca="false">AM144</f>
        <v>-78.0694524640294</v>
      </c>
      <c r="I144" s="48" t="n">
        <f aca="false">H144+1.02/(TAN($A$4*(H144+10.3/(H144+5.11)))*60)</f>
        <v>-78.073000658555</v>
      </c>
      <c r="J144" s="39" t="n">
        <f aca="false">100*(1+COS($A$4*AQ144))/2</f>
        <v>40.4279710768113</v>
      </c>
      <c r="K144" s="48" t="n">
        <f aca="false">IF(AI144&gt;180,AT144-180,AT144+180)</f>
        <v>275.78990510491</v>
      </c>
      <c r="L144" s="10" t="n">
        <f aca="false">L143+1/8</f>
        <v>2459871.25</v>
      </c>
      <c r="M144" s="49" t="n">
        <f aca="false">(L144-2451545)/36525</f>
        <v>0.227960301163587</v>
      </c>
      <c r="N144" s="15" t="n">
        <f aca="false">MOD(280.46061837+360.98564736629*(L144-2451545)+0.000387933*M144^2-M144^3/38710000+$G$4,360)</f>
        <v>297.207022101153</v>
      </c>
      <c r="O144" s="18" t="n">
        <f aca="false">0.60643382+1336.85522467*M144 - 0.00000313*M144^2 - INT(0.60643382+1336.85522467*M144 - 0.00000313*M144^2)</f>
        <v>0.356353285234206</v>
      </c>
      <c r="P144" s="15" t="n">
        <f aca="false">22640*SIN(Q144)-4586*SIN(Q144-2*S144)+2370*SIN(2*S144)+769*SIN(2*Q144)-668*SIN(R144)-412*SIN(2*T144)-212*SIN(2*Q144-2*S144)-206*SIN(Q144+R144-2*S144)+192*SIN(Q144+2*S144)-165*SIN(R144-2*S144)-125*SIN(S144)-110*SIN(Q144+R144)+148*SIN(Q144-R144)-55*SIN(2*T144-2*S144)</f>
        <v>-6143.18157974363</v>
      </c>
      <c r="Q144" s="18" t="n">
        <f aca="false">2*PI()*(0.374897+1325.55241*M144 - INT(0.374897+1325.55241*M144))</f>
        <v>3.44459041653175</v>
      </c>
      <c r="R144" s="26" t="n">
        <f aca="false">2*PI()*(0.99312619+99.99735956*M144 - 0.00000044*M144^2 - INT(0.99312619+99.99735956*M144- 0.00000044*M144^2))</f>
        <v>4.95463321890515</v>
      </c>
      <c r="S144" s="26" t="n">
        <f aca="false">2*PI()*(0.827361+1236.853086*M144 - INT(0.827361+1236.853086*M144))</f>
        <v>4.9056784822615</v>
      </c>
      <c r="T144" s="26" t="n">
        <f aca="false">2*PI()*(0.259086+1342.227825*M144 - INT(0.259086+1342.227825*M144))</f>
        <v>1.46866451399423</v>
      </c>
      <c r="U144" s="26" t="n">
        <f aca="false">T144+(P144+412*SIN(2*T144)+541*SIN(R144))/206264.8062</f>
        <v>1.43674044024553</v>
      </c>
      <c r="V144" s="26" t="n">
        <f aca="false">T144-2*S144</f>
        <v>-8.34269245052877</v>
      </c>
      <c r="W144" s="25" t="n">
        <f aca="false">-526*SIN(V144)+44*SIN(Q144+V144)-31*SIN(-Q144+V144)-23*SIN(R144+V144)+11*SIN(-R144+V144)-25*SIN(-2*Q144+T144)+21*SIN(-Q144+T144)</f>
        <v>434.643185793619</v>
      </c>
      <c r="X144" s="26" t="n">
        <f aca="false">2*PI()*(O144+P144/1296000-INT(O144+P144/1296000))</f>
        <v>2.20925074119474</v>
      </c>
      <c r="Y144" s="26" t="n">
        <f aca="false">(18520*SIN(U144)+W144)/206264.8062</f>
        <v>0.0910891262340538</v>
      </c>
      <c r="Z144" s="26" t="n">
        <f aca="false">Y144*180/PI()</f>
        <v>5.21902249274567</v>
      </c>
      <c r="AA144" s="26" t="n">
        <f aca="false">COS(Y144)*COS(X144)</f>
        <v>-0.593484342309923</v>
      </c>
      <c r="AB144" s="26" t="n">
        <f aca="false">COS(Y144)*SIN(X144)</f>
        <v>0.799688707651407</v>
      </c>
      <c r="AC144" s="26" t="n">
        <f aca="false">SIN(Y144)</f>
        <v>0.0909632139261835</v>
      </c>
      <c r="AD144" s="26" t="n">
        <f aca="false">COS($A$4*(23.4393-46.815*M144/3600))*AB144-SIN($A$4*(23.4393-46.815*M144/3600))*AC144</f>
        <v>0.697537668861022</v>
      </c>
      <c r="AE144" s="26" t="n">
        <f aca="false">SIN($A$4*(23.4393-46.815*M144/3600))*AB144+COS($A$4*(23.4393-46.815*M144/3600))*AC144</f>
        <v>0.401519035604652</v>
      </c>
      <c r="AF144" s="26" t="n">
        <f aca="false">SQRT(1-AE144*AE144)</f>
        <v>0.915850677811132</v>
      </c>
      <c r="AG144" s="10" t="n">
        <f aca="false">ATAN(AE144/AF144)/$A$4</f>
        <v>23.673175130443</v>
      </c>
      <c r="AH144" s="26" t="n">
        <f aca="false">IF(24*ATAN(AD144/(AA144+AF144))/PI()&gt;0,24*ATAN(AD144/(AA144+AF144))/PI(),24*ATAN(AD144/(AA144+AF144))/PI()+24)</f>
        <v>8.69280372666843</v>
      </c>
      <c r="AI144" s="10" t="n">
        <f aca="false">IF(N144-15*AH144&gt;0,N144-15*AH144,360+N144-15*AH144)</f>
        <v>166.814966201126</v>
      </c>
      <c r="AJ144" s="18" t="n">
        <f aca="false">0.950724+0.051818*COS(Q144)+0.009531*COS(2*S144-Q144)+0.007843*COS(2*S144)+0.002824*COS(2*Q144)+0.000857*COS(2*S144+Q144)+0.000533*COS(2*S144-R144)+0.000401*COS(2*S144-R144-Q144)+0.00032*COS(Q144-R144)-0.000271*COS(S144)</f>
        <v>0.906589738628186</v>
      </c>
      <c r="AK144" s="50" t="n">
        <f aca="false">ASIN(COS($A$4*$G$2)*COS($A$4*AG144)*COS($A$4*AI144)+SIN($A$4*$G$2)*SIN($A$4*AG144))/$A$4</f>
        <v>-77.8791969489055</v>
      </c>
      <c r="AL144" s="18" t="n">
        <f aca="false">ASIN((0.9983271+0.0016764*COS($A$4*2*$G$2))*COS($A$4*AK144)*SIN($A$4*AJ144))/$A$4</f>
        <v>0.190255515123862</v>
      </c>
      <c r="AM144" s="18" t="n">
        <f aca="false">AK144-AL144</f>
        <v>-78.0694524640294</v>
      </c>
      <c r="AN144" s="10" t="n">
        <f aca="false"> IF(280.4664567 + 360007.6982779*M144/10 + 0.03032028*M144^2/100 + M144^3/49931000&lt;0,MOD(280.4664567 + 360007.6982779*M144/10 + 0.03032028*M144^2/100 + M144^3/49931000+360,360),MOD(280.4664567 + 360007.6982779*M144/10 + 0.03032028*M144^2/100 + M144^3/49931000,360))</f>
        <v>207.212804520412</v>
      </c>
      <c r="AO144" s="27" t="n">
        <f aca="false"> AN144 + (1.9146 - 0.004817*M144 - 0.000014*M144^2)*SIN(R144)+ (0.019993 - 0.000101*M144)*SIN(2*R144)+ 0.00029*SIN(3*R144)</f>
        <v>205.346089210471</v>
      </c>
      <c r="AP144" s="18" t="n">
        <f aca="false">ACOS(COS(X144-$A$4*AO144)*COS(Y144))/$A$4</f>
        <v>78.812524276132</v>
      </c>
      <c r="AQ144" s="25" t="n">
        <f aca="false">180 - AP144 -0.1468*(1-0.0549*SIN(R144))*SIN($A$4*AP144)/(1-0.0167*SIN($A$4*AO144))</f>
        <v>101.036866655253</v>
      </c>
      <c r="AR144" s="25" t="n">
        <f aca="false">SIN($A$4*AI144)</f>
        <v>0.228096554278347</v>
      </c>
      <c r="AS144" s="25" t="n">
        <f aca="false">COS($A$4*AI144)*SIN($A$4*$G$2) - TAN($A$4*AG144)*COS($A$4*$G$2)</f>
        <v>-0.0231286010079764</v>
      </c>
      <c r="AT144" s="25" t="n">
        <f aca="false">IF(OR(AND(AR144*AS144&gt;0), AND(AR144&lt;0,AS144&gt;0)), MOD(ATAN2(AS144,AR144)/$A$4+360,360),  ATAN2(AS144,AR144)/$A$4)</f>
        <v>95.7899051049103</v>
      </c>
      <c r="AU144" s="29" t="n">
        <f aca="false">(1+SIN($A$4*H144)*SIN($A$4*AJ144))*120*ASIN(0.272481*SIN($A$4*AJ144))/$A$4</f>
        <v>29.1833940445526</v>
      </c>
      <c r="AV144" s="10" t="n">
        <f aca="false">COS(X144)</f>
        <v>-0.59595502090214</v>
      </c>
      <c r="AW144" s="10" t="n">
        <f aca="false">SIN(X144)</f>
        <v>0.803017816154492</v>
      </c>
      <c r="AX144" s="30" t="n">
        <f aca="false"> 385000.56 + (-20905355*COS(Q144) - 3699111*COS(2*S144-Q144) - 2955968*COS(2*S144) - 569925*COS(2*Q144) + (1-0.002516*M144)*48888*COS(R144) - 3149*COS(2*T144)  +246158*COS(2*S144-2*Q144) -(1-0.002516*M144)*152138*COS(2*S144-R144-Q144) -170733*COS(2*S144+Q144) -(1-0.002516*M144)*204586*COS(2*S144-R144) -(1-0.002516*M144)*129620*COS(R144-Q144)  + 108743*COS(S144) +(1-0.002516*M144)*104755*COS(R144+Q144) +10321*COS(2*S144-2*T144) +79661*COS(Q144-2*T144) -34782*COS(4*S144-Q144) -23210*COS(3*Q144)  -21636*COS(4*S144-2*Q144) +(1-0.002516*M144)*24208*COS(2*S144+R144-Q144) +(1-0.002516*M144)*30824*COS(2*S144+R144) -8379*COS(S144-Q144) -(1-0.002516*M144)*16675*COS(S144+R144)  -(1-0.002516*M144)*12831*COS(2*S144-R144+Q144) -10445*COS(2*S144+2*Q144) -11650*COS(4*S144) +14403*COS(2*S144-3*Q144) -(1-0.002516*M144)*7003*COS(R144-2*Q144)  + (1-0.002516*M144)*10056*COS(2*S144-R144-2*Q144) +6322*COS(S144+Q144) -(1-0.002516*M144)*(1-0.002516*M144)*9884*COS(2*S144-2*R144) +(1-0.002516*M144)*5751*COS(R144+2*Q144) -(1-0.002516*M144)*(1-0.002516*M144)*4950*COS(2*S144-2*R144-Q144)  +4130*COS(2*S144+Q144-2*T144) -(1-0.002516*M144)*3958*COS(4*S144-R144-Q144) +3258*COS(3*S144-Q144) +(1-0.002516*M144)*2616*COS(2*S144+R144+Q144) -(1-0.002516*M144)*1897*COS(4*S144-R144-2*Q144)  -(1-0.002516*M144)*(1-0.002516*M144)*2117*COS(2*R144-Q144) +(1-0.002516*M144)*(1-0.002516*M144)*2354*COS(2*S144+2*R144-Q144) -1423*COS(4*S144+Q144) -1117*COS(4*Q144) -(1-0.002516*M144)*1571*COS(4*S144-R144)  -1739*COS(S144-2*Q144) -4421*COS(2*Q144-2*T144) +(1-0.002516*M144)*(1-0.002516*M144)*1165*COS(2*R144+Q144) +8752*COS(2*S144-Q144-2*T144))/1000</f>
        <v>403192.85852982</v>
      </c>
      <c r="AY144" s="10" t="n">
        <f aca="false">AY143+1/8</f>
        <v>18.75</v>
      </c>
      <c r="AZ144" s="17" t="n">
        <f aca="false">AZ143+1</f>
        <v>143</v>
      </c>
      <c r="BA144" s="32" t="n">
        <f aca="false">ATAN(0.99664719*TAN($A$4*input!$E$2))</f>
        <v>-0.400219206115995</v>
      </c>
      <c r="BB144" s="32" t="n">
        <f aca="false">COS(BA144)</f>
        <v>0.920975608992155</v>
      </c>
      <c r="BC144" s="32" t="n">
        <f aca="false">0.99664719*SIN(BA144)</f>
        <v>-0.388313912533463</v>
      </c>
      <c r="BD144" s="32" t="n">
        <f aca="false">6378.14/AX144</f>
        <v>0.0158190797903934</v>
      </c>
      <c r="BE144" s="33" t="n">
        <f aca="false">MOD(N144-15*AH144,360)</f>
        <v>166.814966201126</v>
      </c>
      <c r="BF144" s="27" t="n">
        <f aca="false">COS($A$4*AG144)*SIN($A$4*BE144)</f>
        <v>0.208902383842208</v>
      </c>
      <c r="BG144" s="27" t="n">
        <f aca="false">COS($A$4*AG144)*COS($A$4*BE144)-BB144*BD144</f>
        <v>-0.906276482447155</v>
      </c>
      <c r="BH144" s="27" t="n">
        <f aca="false">SIN($A$4*AG144)-BC144*BD144</f>
        <v>0.407661804370739</v>
      </c>
      <c r="BI144" s="46" t="n">
        <f aca="false">SQRT(BF144^2+BG144^2+BH144^2)</f>
        <v>1.01546315312499</v>
      </c>
      <c r="BJ144" s="35" t="n">
        <f aca="false">AX144*BI144</f>
        <v>409427.49144017</v>
      </c>
    </row>
    <row r="145" customFormat="false" ht="15" hidden="false" customHeight="false" outlineLevel="0" collapsed="false">
      <c r="A145" s="20"/>
      <c r="B145" s="20"/>
      <c r="C145" s="15" t="n">
        <f aca="false">MOD(C144+3,24)</f>
        <v>21</v>
      </c>
      <c r="D145" s="17" t="n">
        <v>18</v>
      </c>
      <c r="E145" s="102" t="n">
        <f aca="false">input!$C$2</f>
        <v>10</v>
      </c>
      <c r="F145" s="102" t="n">
        <f aca="false">input!$D$2</f>
        <v>2022</v>
      </c>
      <c r="H145" s="39" t="n">
        <f aca="false">AM145</f>
        <v>-62.5524948014214</v>
      </c>
      <c r="I145" s="48" t="n">
        <f aca="false">H145+1.02/(TAN($A$4*(H145+10.3/(H145+5.11)))*60)</f>
        <v>-62.5612572086269</v>
      </c>
      <c r="J145" s="39" t="n">
        <f aca="false">100*(1+COS($A$4*AQ145))/2</f>
        <v>39.2599589197108</v>
      </c>
      <c r="K145" s="48" t="n">
        <f aca="false">IF(AI145&gt;180,AT145-180,AT145+180)</f>
        <v>83.3185510142322</v>
      </c>
      <c r="L145" s="10" t="n">
        <f aca="false">L144+1/8</f>
        <v>2459871.375</v>
      </c>
      <c r="M145" s="49" t="n">
        <f aca="false">(L145-2451545)/36525</f>
        <v>0.227963723477071</v>
      </c>
      <c r="N145" s="15" t="n">
        <f aca="false">MOD(280.46061837+360.98564736629*(L145-2451545)+0.000387933*M145^2-M145^3/38710000+$G$4,360)</f>
        <v>342.3302280223</v>
      </c>
      <c r="O145" s="18" t="n">
        <f aca="false">0.60643382+1336.85522467*M145 - 0.00000313*M145^2 - INT(0.60643382+1336.85522467*M145 - 0.00000313*M145^2)</f>
        <v>0.360928422890765</v>
      </c>
      <c r="P145" s="15" t="n">
        <f aca="false">22640*SIN(Q145)-4586*SIN(Q145-2*S145)+2370*SIN(2*S145)+769*SIN(2*Q145)-668*SIN(R145)-412*SIN(2*T145)-212*SIN(2*Q145-2*S145)-206*SIN(Q145+R145-2*S145)+192*SIN(Q145+2*S145)-165*SIN(R145-2*S145)-125*SIN(S145)-110*SIN(Q145+R145)+148*SIN(Q145-R145)-55*SIN(2*T145-2*S145)</f>
        <v>-6684.88275094272</v>
      </c>
      <c r="Q145" s="18" t="n">
        <f aca="false">2*PI()*(0.374897+1325.55241*M145 - INT(0.374897+1325.55241*M145))</f>
        <v>3.47309380950355</v>
      </c>
      <c r="R145" s="26" t="n">
        <f aca="false">2*PI()*(0.99312619+99.99735956*M145 - 0.00000044*M145^2 - INT(0.99312619+99.99735956*M145- 0.00000044*M145^2))</f>
        <v>4.95678346510325</v>
      </c>
      <c r="S145" s="26" t="n">
        <f aca="false">2*PI()*(0.827361+1236.853086*M145 - INT(0.827361+1236.853086*M145))</f>
        <v>4.93227457102643</v>
      </c>
      <c r="T145" s="26" t="n">
        <f aca="false">2*PI()*(0.259086+1342.227825*M145 - INT(0.259086+1342.227825*M145))</f>
        <v>1.49752647891163</v>
      </c>
      <c r="U145" s="26" t="n">
        <f aca="false">T145+(P145+412*SIN(2*T145)+541*SIN(R145))/206264.8062</f>
        <v>1.46286400774723</v>
      </c>
      <c r="V145" s="26" t="n">
        <f aca="false">T145-2*S145</f>
        <v>-8.36702266314122</v>
      </c>
      <c r="W145" s="25" t="n">
        <f aca="false">-526*SIN(V145)+44*SIN(Q145+V145)-31*SIN(-Q145+V145)-23*SIN(R145+V145)+11*SIN(-R145+V145)-25*SIN(-2*Q145+T145)+21*SIN(-Q145+T145)</f>
        <v>429.481317727135</v>
      </c>
      <c r="X145" s="26" t="n">
        <f aca="false">2*PI()*(O145+P145/1296000-INT(O145+P145/1296000))</f>
        <v>2.23537093750806</v>
      </c>
      <c r="Y145" s="26" t="n">
        <f aca="false">(18520*SIN(U145)+W145)/206264.8062</f>
        <v>0.0913472008918402</v>
      </c>
      <c r="Z145" s="26" t="n">
        <f aca="false">Y145*180/PI()</f>
        <v>5.23380908143612</v>
      </c>
      <c r="AA145" s="26" t="n">
        <f aca="false">COS(Y145)*COS(X145)</f>
        <v>-0.614153049804757</v>
      </c>
      <c r="AB145" s="26" t="n">
        <f aca="false">COS(Y145)*SIN(X145)</f>
        <v>0.783897253263559</v>
      </c>
      <c r="AC145" s="26" t="n">
        <f aca="false">SIN(Y145)</f>
        <v>0.0912202156397528</v>
      </c>
      <c r="AD145" s="26" t="n">
        <f aca="false">COS($A$4*(23.4393-46.815*M145/3600))*AB145-SIN($A$4*(23.4393-46.815*M145/3600))*AC145</f>
        <v>0.682946751781523</v>
      </c>
      <c r="AE145" s="26" t="n">
        <f aca="false">SIN($A$4*(23.4393-46.815*M145/3600))*AB145+COS($A$4*(23.4393-46.815*M145/3600))*AC145</f>
        <v>0.395474102371549</v>
      </c>
      <c r="AF145" s="26" t="n">
        <f aca="false">SQRT(1-AE145*AE145)</f>
        <v>0.918477127833578</v>
      </c>
      <c r="AG145" s="10" t="n">
        <f aca="false">ATAN(AE145/AF145)/$A$4</f>
        <v>23.2955458900688</v>
      </c>
      <c r="AH145" s="26" t="n">
        <f aca="false">IF(24*ATAN(AD145/(AA145+AF145))/PI()&gt;0,24*ATAN(AD145/(AA145+AF145))/PI(),24*ATAN(AD145/(AA145+AF145))/PI()+24)</f>
        <v>8.79760491999041</v>
      </c>
      <c r="AI145" s="10" t="n">
        <f aca="false">IF(N145-15*AH145&gt;0,N145-15*AH145,360+N145-15*AH145)</f>
        <v>210.366154222444</v>
      </c>
      <c r="AJ145" s="18" t="n">
        <f aca="false">0.950724+0.051818*COS(Q145)+0.009531*COS(2*S145-Q145)+0.007843*COS(2*S145)+0.002824*COS(2*Q145)+0.000857*COS(2*S145+Q145)+0.000533*COS(2*S145-R145)+0.000401*COS(2*S145-R145-Q145)+0.00032*COS(Q145-R145)-0.000271*COS(S145)</f>
        <v>0.907072539835337</v>
      </c>
      <c r="AK145" s="50" t="n">
        <f aca="false">ASIN(COS($A$4*$G$2)*COS($A$4*AG145)*COS($A$4*AI145)+SIN($A$4*$G$2)*SIN($A$4*AG145))/$A$4</f>
        <v>-62.1286792408571</v>
      </c>
      <c r="AL145" s="18" t="n">
        <f aca="false">ASIN((0.9983271+0.0016764*COS($A$4*2*$G$2))*COS($A$4*AK145)*SIN($A$4*AJ145))/$A$4</f>
        <v>0.423815560564249</v>
      </c>
      <c r="AM145" s="18" t="n">
        <f aca="false">AK145-AL145</f>
        <v>-62.5524948014214</v>
      </c>
      <c r="AN145" s="10" t="n">
        <f aca="false"> IF(280.4664567 + 360007.6982779*M145/10 + 0.03032028*M145^2/100 + M145^3/49931000&lt;0,MOD(280.4664567 + 360007.6982779*M145/10 + 0.03032028*M145^2/100 + M145^3/49931000+360,360),MOD(280.4664567 + 360007.6982779*M145/10 + 0.03032028*M145^2/100 + M145^3/49931000,360))</f>
        <v>207.336010440898</v>
      </c>
      <c r="AO145" s="27" t="n">
        <f aca="false"> AN145 + (1.9146 - 0.004817*M145 - 0.000014*M145^2)*SIN(R145)+ (0.019993 - 0.000101*M145)*SIN(2*R145)+ 0.00029*SIN(3*R145)</f>
        <v>205.470209276507</v>
      </c>
      <c r="AP145" s="18" t="n">
        <f aca="false">ACOS(COS(X145-$A$4*AO145)*COS(Y145))/$A$4</f>
        <v>77.4463106477029</v>
      </c>
      <c r="AQ145" s="25" t="n">
        <f aca="false">180 - AP145 -0.1468*(1-0.0549*SIN(R145))*SIN($A$4*AP145)/(1-0.0167*SIN($A$4*AO145))</f>
        <v>102.403842212654</v>
      </c>
      <c r="AR145" s="25" t="n">
        <f aca="false">SIN($A$4*AI145)</f>
        <v>-0.505524171564752</v>
      </c>
      <c r="AS145" s="25" t="n">
        <f aca="false">COS($A$4*AI145)*SIN($A$4*$G$2) - TAN($A$4*AG145)*COS($A$4*$G$2)</f>
        <v>-0.0592195125588248</v>
      </c>
      <c r="AT145" s="25" t="n">
        <f aca="false">IF(OR(AND(AR145*AS145&gt;0), AND(AR145&lt;0,AS145&gt;0)), MOD(ATAN2(AS145,AR145)/$A$4+360,360),  ATAN2(AS145,AR145)/$A$4)</f>
        <v>263.318551014232</v>
      </c>
      <c r="AU145" s="29" t="n">
        <f aca="false">(1+SIN($A$4*H145)*SIN($A$4*AJ145))*120*ASIN(0.272481*SIN($A$4*AJ145))/$A$4</f>
        <v>29.2413989446625</v>
      </c>
      <c r="AV145" s="10" t="n">
        <f aca="false">COS(X145)</f>
        <v>-0.616724330937864</v>
      </c>
      <c r="AW145" s="10" t="n">
        <f aca="false">SIN(X145)</f>
        <v>0.787179204266248</v>
      </c>
      <c r="AX145" s="30" t="n">
        <f aca="false"> 385000.56 + (-20905355*COS(Q145) - 3699111*COS(2*S145-Q145) - 2955968*COS(2*S145) - 569925*COS(2*Q145) + (1-0.002516*M145)*48888*COS(R145) - 3149*COS(2*T145)  +246158*COS(2*S145-2*Q145) -(1-0.002516*M145)*152138*COS(2*S145-R145-Q145) -170733*COS(2*S145+Q145) -(1-0.002516*M145)*204586*COS(2*S145-R145) -(1-0.002516*M145)*129620*COS(R145-Q145)  + 108743*COS(S145) +(1-0.002516*M145)*104755*COS(R145+Q145) +10321*COS(2*S145-2*T145) +79661*COS(Q145-2*T145) -34782*COS(4*S145-Q145) -23210*COS(3*Q145)  -21636*COS(4*S145-2*Q145) +(1-0.002516*M145)*24208*COS(2*S145+R145-Q145) +(1-0.002516*M145)*30824*COS(2*S145+R145) -8379*COS(S145-Q145) -(1-0.002516*M145)*16675*COS(S145+R145)  -(1-0.002516*M145)*12831*COS(2*S145-R145+Q145) -10445*COS(2*S145+2*Q145) -11650*COS(4*S145) +14403*COS(2*S145-3*Q145) -(1-0.002516*M145)*7003*COS(R145-2*Q145)  + (1-0.002516*M145)*10056*COS(2*S145-R145-2*Q145) +6322*COS(S145+Q145) -(1-0.002516*M145)*(1-0.002516*M145)*9884*COS(2*S145-2*R145) +(1-0.002516*M145)*5751*COS(R145+2*Q145) -(1-0.002516*M145)*(1-0.002516*M145)*4950*COS(2*S145-2*R145-Q145)  +4130*COS(2*S145+Q145-2*T145) -(1-0.002516*M145)*3958*COS(4*S145-R145-Q145) +3258*COS(3*S145-Q145) +(1-0.002516*M145)*2616*COS(2*S145+R145+Q145) -(1-0.002516*M145)*1897*COS(4*S145-R145-2*Q145)  -(1-0.002516*M145)*(1-0.002516*M145)*2117*COS(2*R145-Q145) +(1-0.002516*M145)*(1-0.002516*M145)*2354*COS(2*S145+2*R145-Q145) -1423*COS(4*S145+Q145) -1117*COS(4*Q145) -(1-0.002516*M145)*1571*COS(4*S145-R145)  -1739*COS(S145-2*Q145) -4421*COS(2*Q145-2*T145) +(1-0.002516*M145)*(1-0.002516*M145)*1165*COS(2*R145+Q145) +8752*COS(2*S145-Q145-2*T145))/1000</f>
        <v>402969.761509006</v>
      </c>
      <c r="AY145" s="10" t="n">
        <f aca="false">AY144+1/8</f>
        <v>18.875</v>
      </c>
      <c r="AZ145" s="17" t="n">
        <f aca="false">AZ144+1</f>
        <v>144</v>
      </c>
      <c r="BA145" s="32" t="n">
        <f aca="false">ATAN(0.99664719*TAN($A$4*input!$E$2))</f>
        <v>-0.400219206115995</v>
      </c>
      <c r="BB145" s="32" t="n">
        <f aca="false">COS(BA145)</f>
        <v>0.920975608992155</v>
      </c>
      <c r="BC145" s="32" t="n">
        <f aca="false">0.99664719*SIN(BA145)</f>
        <v>-0.388313912533463</v>
      </c>
      <c r="BD145" s="32" t="n">
        <f aca="false">6378.14/AX145</f>
        <v>0.0158278377417593</v>
      </c>
      <c r="BE145" s="33" t="n">
        <f aca="false">MOD(N145-15*AH145,360)</f>
        <v>210.366154222444</v>
      </c>
      <c r="BF145" s="27" t="n">
        <f aca="false">COS($A$4*AG145)*SIN($A$4*BE145)</f>
        <v>-0.464312389149242</v>
      </c>
      <c r="BG145" s="27" t="n">
        <f aca="false">COS($A$4*AG145)*COS($A$4*BE145)-BB145*BD145</f>
        <v>-0.807050547098453</v>
      </c>
      <c r="BH145" s="27" t="n">
        <f aca="false">SIN($A$4*AG145)-BC145*BD145</f>
        <v>0.401620271971996</v>
      </c>
      <c r="BI145" s="46" t="n">
        <f aca="false">SQRT(BF145^2+BG145^2+BH145^2)</f>
        <v>1.01400957744404</v>
      </c>
      <c r="BJ145" s="35" t="n">
        <f aca="false">AX145*BI145</f>
        <v>408615.197590474</v>
      </c>
    </row>
    <row r="146" customFormat="false" ht="15" hidden="false" customHeight="false" outlineLevel="0" collapsed="false">
      <c r="A146" s="20"/>
      <c r="B146" s="20"/>
      <c r="C146" s="15" t="n">
        <f aca="false">MOD(C145+3,24)</f>
        <v>0</v>
      </c>
      <c r="D146" s="36" t="n">
        <v>19</v>
      </c>
      <c r="E146" s="102" t="n">
        <f aca="false">input!$C$2</f>
        <v>10</v>
      </c>
      <c r="F146" s="102" t="n">
        <f aca="false">input!$D$2</f>
        <v>2022</v>
      </c>
      <c r="H146" s="39" t="n">
        <f aca="false">AM146</f>
        <v>-23.5953227705422</v>
      </c>
      <c r="I146" s="48" t="n">
        <f aca="false">H146+1.02/(TAN($A$4*(H146+10.3/(H146+5.11)))*60)</f>
        <v>-23.6332334744585</v>
      </c>
      <c r="J146" s="39" t="n">
        <f aca="false">100*(1+COS($A$4*AQ146))/2</f>
        <v>38.0964622588045</v>
      </c>
      <c r="K146" s="48" t="n">
        <f aca="false">IF(AI146&gt;180,AT146-180,AT146+180)</f>
        <v>73.7169787292077</v>
      </c>
      <c r="L146" s="10" t="n">
        <f aca="false">L145+1/8</f>
        <v>2459871.5</v>
      </c>
      <c r="M146" s="49" t="n">
        <f aca="false">(L146-2451545)/36525</f>
        <v>0.227967145790554</v>
      </c>
      <c r="N146" s="15" t="n">
        <f aca="false">MOD(280.46061837+360.98564736629*(L146-2451545)+0.000387933*M146^2-M146^3/38710000+$G$4,360)</f>
        <v>27.4534339434467</v>
      </c>
      <c r="O146" s="18" t="n">
        <f aca="false">0.60643382+1336.85522467*M146 - 0.00000313*M146^2 - INT(0.60643382+1336.85522467*M146 - 0.00000313*M146^2)</f>
        <v>0.365503560547268</v>
      </c>
      <c r="P146" s="15" t="n">
        <f aca="false">22640*SIN(Q146)-4586*SIN(Q146-2*S146)+2370*SIN(2*S146)+769*SIN(2*Q146)-668*SIN(R146)-412*SIN(2*T146)-212*SIN(2*Q146-2*S146)-206*SIN(Q146+R146-2*S146)+192*SIN(Q146+2*S146)-165*SIN(R146-2*S146)-125*SIN(S146)-110*SIN(Q146+R146)+148*SIN(Q146-R146)-55*SIN(2*T146-2*S146)</f>
        <v>-7219.85939335281</v>
      </c>
      <c r="Q146" s="18" t="n">
        <f aca="false">2*PI()*(0.374897+1325.55241*M146 - INT(0.374897+1325.55241*M146))</f>
        <v>3.50159720247535</v>
      </c>
      <c r="R146" s="26" t="n">
        <f aca="false">2*PI()*(0.99312619+99.99735956*M146 - 0.00000044*M146^2 - INT(0.99312619+99.99735956*M146- 0.00000044*M146^2))</f>
        <v>4.95893371130131</v>
      </c>
      <c r="S146" s="26" t="n">
        <f aca="false">2*PI()*(0.827361+1236.853086*M146 - INT(0.827361+1236.853086*M146))</f>
        <v>4.95887065979135</v>
      </c>
      <c r="T146" s="26" t="n">
        <f aca="false">2*PI()*(0.259086+1342.227825*M146 - INT(0.259086+1342.227825*M146))</f>
        <v>1.52638844382904</v>
      </c>
      <c r="U146" s="26" t="n">
        <f aca="false">T146+(P146+412*SIN(2*T146)+541*SIN(R146))/206264.8062</f>
        <v>1.48901921690558</v>
      </c>
      <c r="V146" s="26" t="n">
        <f aca="false">T146-2*S146</f>
        <v>-8.39135287575366</v>
      </c>
      <c r="W146" s="25" t="n">
        <f aca="false">-526*SIN(V146)+44*SIN(Q146+V146)-31*SIN(-Q146+V146)-23*SIN(R146+V146)+11*SIN(-R146+V146)-25*SIN(-2*Q146+T146)+21*SIN(-Q146+T146)</f>
        <v>424.127854555535</v>
      </c>
      <c r="X146" s="26" t="n">
        <f aca="false">2*PI()*(O146+P146/1296000-INT(O146+P146/1296000))</f>
        <v>2.26152373525657</v>
      </c>
      <c r="Y146" s="26" t="n">
        <f aca="false">(18520*SIN(U146)+W146)/206264.8062</f>
        <v>0.0915436641638916</v>
      </c>
      <c r="Z146" s="26" t="n">
        <f aca="false">Y146*180/PI()</f>
        <v>5.24506559775399</v>
      </c>
      <c r="AA146" s="26" t="n">
        <f aca="false">COS(Y146)*COS(X146)</f>
        <v>-0.63443037043819</v>
      </c>
      <c r="AB146" s="26" t="n">
        <f aca="false">COS(Y146)*SIN(X146)</f>
        <v>0.767555369965995</v>
      </c>
      <c r="AC146" s="26" t="n">
        <f aca="false">SIN(Y146)</f>
        <v>0.0914158580445733</v>
      </c>
      <c r="AD146" s="26" t="n">
        <f aca="false">COS($A$4*(23.4393-46.815*M146/3600))*AB146-SIN($A$4*(23.4393-46.815*M146/3600))*AC146</f>
        <v>0.667875219174872</v>
      </c>
      <c r="AE146" s="26" t="n">
        <f aca="false">SIN($A$4*(23.4393-46.815*M146/3600))*AB146+COS($A$4*(23.4393-46.815*M146/3600))*AC146</f>
        <v>0.38915394984219</v>
      </c>
      <c r="AF146" s="26" t="n">
        <f aca="false">SQRT(1-AE146*AE146)</f>
        <v>0.921172732619796</v>
      </c>
      <c r="AG146" s="10" t="n">
        <f aca="false">ATAN(AE146/AF146)/$A$4</f>
        <v>22.9018659307054</v>
      </c>
      <c r="AH146" s="26" t="n">
        <f aca="false">IF(24*ATAN(AD146/(AA146+AF146))/PI()&gt;0,24*ATAN(AD146/(AA146+AF146))/PI(),24*ATAN(AD146/(AA146+AF146))/PI()+24)</f>
        <v>8.90192636872586</v>
      </c>
      <c r="AI146" s="10" t="n">
        <f aca="false">IF(N146-15*AH146&gt;0,N146-15*AH146,360+N146-15*AH146)</f>
        <v>253.924538412559</v>
      </c>
      <c r="AJ146" s="18" t="n">
        <f aca="false">0.950724+0.051818*COS(Q146)+0.009531*COS(2*S146-Q146)+0.007843*COS(2*S146)+0.002824*COS(2*Q146)+0.000857*COS(2*S146+Q146)+0.000533*COS(2*S146-R146)+0.000401*COS(2*S146-R146-Q146)+0.00032*COS(Q146-R146)-0.000271*COS(S146)</f>
        <v>0.907597840304842</v>
      </c>
      <c r="AK146" s="50" t="n">
        <f aca="false">ASIN(COS($A$4*$G$2)*COS($A$4*AG146)*COS($A$4*AI146)+SIN($A$4*$G$2)*SIN($A$4*AG146))/$A$4</f>
        <v>-22.7588199407178</v>
      </c>
      <c r="AL146" s="18" t="n">
        <f aca="false">ASIN((0.9983271+0.0016764*COS($A$4*2*$G$2))*COS($A$4*AK146)*SIN($A$4*AJ146))/$A$4</f>
        <v>0.836502829824325</v>
      </c>
      <c r="AM146" s="18" t="n">
        <f aca="false">AK146-AL146</f>
        <v>-23.5953227705422</v>
      </c>
      <c r="AN146" s="10" t="n">
        <f aca="false"> IF(280.4664567 + 360007.6982779*M146/10 + 0.03032028*M146^2/100 + M146^3/49931000&lt;0,MOD(280.4664567 + 360007.6982779*M146/10 + 0.03032028*M146^2/100 + M146^3/49931000+360,360),MOD(280.4664567 + 360007.6982779*M146/10 + 0.03032028*M146^2/100 + M146^3/49931000,360))</f>
        <v>207.459216361383</v>
      </c>
      <c r="AO146" s="27" t="n">
        <f aca="false"> AN146 + (1.9146 - 0.004817*M146 - 0.000014*M146^2)*SIN(R146)+ (0.019993 - 0.000101*M146)*SIN(2*R146)+ 0.00029*SIN(3*R146)</f>
        <v>205.59433809126</v>
      </c>
      <c r="AP146" s="18" t="n">
        <f aca="false">ACOS(COS(X146-$A$4*AO146)*COS(Y146))/$A$4</f>
        <v>76.0782984015912</v>
      </c>
      <c r="AQ146" s="25" t="n">
        <f aca="false">180 - AP146 -0.1468*(1-0.0549*SIN(R146))*SIN($A$4*AP146)/(1-0.0167*SIN($A$4*AO146))</f>
        <v>103.772702678225</v>
      </c>
      <c r="AR146" s="25" t="n">
        <f aca="false">SIN($A$4*AI146)</f>
        <v>-0.960897833276783</v>
      </c>
      <c r="AS146" s="25" t="n">
        <f aca="false">COS($A$4*AI146)*SIN($A$4*$G$2) - TAN($A$4*AG146)*COS($A$4*$G$2)</f>
        <v>-0.28067712105837</v>
      </c>
      <c r="AT146" s="25" t="n">
        <f aca="false">IF(OR(AND(AR146*AS146&gt;0), AND(AR146&lt;0,AS146&gt;0)), MOD(ATAN2(AS146,AR146)/$A$4+360,360),  ATAN2(AS146,AR146)/$A$4)</f>
        <v>253.716978729208</v>
      </c>
      <c r="AU146" s="29" t="n">
        <f aca="false">(1+SIN($A$4*H146)*SIN($A$4*AJ146))*120*ASIN(0.272481*SIN($A$4*AJ146))/$A$4</f>
        <v>29.4870810460539</v>
      </c>
      <c r="AV146" s="10" t="n">
        <f aca="false">COS(X146)</f>
        <v>-0.637098024646588</v>
      </c>
      <c r="AW146" s="10" t="n">
        <f aca="false">SIN(X146)</f>
        <v>0.770782788463401</v>
      </c>
      <c r="AX146" s="30" t="n">
        <f aca="false"> 385000.56 + (-20905355*COS(Q146) - 3699111*COS(2*S146-Q146) - 2955968*COS(2*S146) - 569925*COS(2*Q146) + (1-0.002516*M146)*48888*COS(R146) - 3149*COS(2*T146)  +246158*COS(2*S146-2*Q146) -(1-0.002516*M146)*152138*COS(2*S146-R146-Q146) -170733*COS(2*S146+Q146) -(1-0.002516*M146)*204586*COS(2*S146-R146) -(1-0.002516*M146)*129620*COS(R146-Q146)  + 108743*COS(S146) +(1-0.002516*M146)*104755*COS(R146+Q146) +10321*COS(2*S146-2*T146) +79661*COS(Q146-2*T146) -34782*COS(4*S146-Q146) -23210*COS(3*Q146)  -21636*COS(4*S146-2*Q146) +(1-0.002516*M146)*24208*COS(2*S146+R146-Q146) +(1-0.002516*M146)*30824*COS(2*S146+R146) -8379*COS(S146-Q146) -(1-0.002516*M146)*16675*COS(S146+R146)  -(1-0.002516*M146)*12831*COS(2*S146-R146+Q146) -10445*COS(2*S146+2*Q146) -11650*COS(4*S146) +14403*COS(2*S146-3*Q146) -(1-0.002516*M146)*7003*COS(R146-2*Q146)  + (1-0.002516*M146)*10056*COS(2*S146-R146-2*Q146) +6322*COS(S146+Q146) -(1-0.002516*M146)*(1-0.002516*M146)*9884*COS(2*S146-2*R146) +(1-0.002516*M146)*5751*COS(R146+2*Q146) -(1-0.002516*M146)*(1-0.002516*M146)*4950*COS(2*S146-2*R146-Q146)  +4130*COS(2*S146+Q146-2*T146) -(1-0.002516*M146)*3958*COS(4*S146-R146-Q146) +3258*COS(3*S146-Q146) +(1-0.002516*M146)*2616*COS(2*S146+R146+Q146) -(1-0.002516*M146)*1897*COS(4*S146-R146-2*Q146)  -(1-0.002516*M146)*(1-0.002516*M146)*2117*COS(2*R146-Q146) +(1-0.002516*M146)*(1-0.002516*M146)*2354*COS(2*S146+2*R146-Q146) -1423*COS(4*S146+Q146) -1117*COS(4*Q146) -(1-0.002516*M146)*1571*COS(4*S146-R146)  -1739*COS(S146-2*Q146) -4421*COS(2*Q146-2*T146) +(1-0.002516*M146)*(1-0.002516*M146)*1165*COS(2*R146+Q146) +8752*COS(2*S146-Q146-2*T146))/1000</f>
        <v>402727.434132863</v>
      </c>
      <c r="AY146" s="10" t="n">
        <f aca="false">AY145+1/8</f>
        <v>19</v>
      </c>
      <c r="AZ146" s="17" t="n">
        <f aca="false">AZ145+1</f>
        <v>145</v>
      </c>
      <c r="BA146" s="32" t="n">
        <f aca="false">ATAN(0.99664719*TAN($A$4*input!$E$2))</f>
        <v>-0.400219206115995</v>
      </c>
      <c r="BB146" s="32" t="n">
        <f aca="false">COS(BA146)</f>
        <v>0.920975608992155</v>
      </c>
      <c r="BC146" s="32" t="n">
        <f aca="false">0.99664719*SIN(BA146)</f>
        <v>-0.388313912533463</v>
      </c>
      <c r="BD146" s="32" t="n">
        <f aca="false">6378.14/AX146</f>
        <v>0.0158373615985044</v>
      </c>
      <c r="BE146" s="33" t="n">
        <f aca="false">MOD(N146-15*AH146,360)</f>
        <v>253.924538412559</v>
      </c>
      <c r="BF146" s="27" t="n">
        <f aca="false">COS($A$4*AG146)*SIN($A$4*BE146)</f>
        <v>-0.885152882848015</v>
      </c>
      <c r="BG146" s="27" t="n">
        <f aca="false">COS($A$4*AG146)*COS($A$4*BE146)-BB146*BD146</f>
        <v>-0.269661454307889</v>
      </c>
      <c r="BH146" s="27" t="n">
        <f aca="false">SIN($A$4*AG146)-BC146*BD146</f>
        <v>0.395303817688713</v>
      </c>
      <c r="BI146" s="46" t="n">
        <f aca="false">SQRT(BF146^2+BG146^2+BH146^2)</f>
        <v>1.00621967493827</v>
      </c>
      <c r="BJ146" s="35" t="n">
        <f aca="false">AX146*BI146</f>
        <v>405232.267861891</v>
      </c>
    </row>
    <row r="147" customFormat="false" ht="15" hidden="false" customHeight="false" outlineLevel="0" collapsed="false">
      <c r="A147" s="20"/>
      <c r="B147" s="20"/>
      <c r="C147" s="15" t="n">
        <f aca="false">MOD(C146+3,24)</f>
        <v>3</v>
      </c>
      <c r="D147" s="17" t="n">
        <v>19</v>
      </c>
      <c r="E147" s="102" t="n">
        <f aca="false">input!$C$2</f>
        <v>10</v>
      </c>
      <c r="F147" s="102" t="n">
        <f aca="false">input!$D$2</f>
        <v>2022</v>
      </c>
      <c r="H147" s="39" t="n">
        <f aca="false">AM147</f>
        <v>13.1891301296411</v>
      </c>
      <c r="I147" s="48" t="n">
        <f aca="false">H147+1.02/(TAN($A$4*(H147+10.3/(H147+5.11)))*60)</f>
        <v>13.2585929014398</v>
      </c>
      <c r="J147" s="39" t="n">
        <f aca="false">100*(1+COS($A$4*AQ147))/2</f>
        <v>36.9380475082742</v>
      </c>
      <c r="K147" s="48" t="n">
        <f aca="false">IF(AI147&gt;180,AT147-180,AT147+180)</f>
        <v>57.6673611972716</v>
      </c>
      <c r="L147" s="10" t="n">
        <f aca="false">L146+1/8</f>
        <v>2459871.625</v>
      </c>
      <c r="M147" s="49" t="n">
        <f aca="false">(L147-2451545)/36525</f>
        <v>0.227970568104038</v>
      </c>
      <c r="N147" s="15" t="n">
        <f aca="false">MOD(280.46061837+360.98564736629*(L147-2451545)+0.000387933*M147^2-M147^3/38710000+$G$4,360)</f>
        <v>72.5766398655251</v>
      </c>
      <c r="O147" s="18" t="n">
        <f aca="false">0.60643382+1336.85522467*M147 - 0.00000313*M147^2 - INT(0.60643382+1336.85522467*M147 - 0.00000313*M147^2)</f>
        <v>0.370078698203827</v>
      </c>
      <c r="P147" s="15" t="n">
        <f aca="false">22640*SIN(Q147)-4586*SIN(Q147-2*S147)+2370*SIN(2*S147)+769*SIN(2*Q147)-668*SIN(R147)-412*SIN(2*T147)-212*SIN(2*Q147-2*S147)-206*SIN(Q147+R147-2*S147)+192*SIN(Q147+2*S147)-165*SIN(R147-2*S147)-125*SIN(S147)-110*SIN(Q147+R147)+148*SIN(Q147-R147)-55*SIN(2*T147-2*S147)</f>
        <v>-7747.63523780894</v>
      </c>
      <c r="Q147" s="18" t="n">
        <f aca="false">2*PI()*(0.374897+1325.55241*M147 - INT(0.374897+1325.55241*M147))</f>
        <v>3.53010059544751</v>
      </c>
      <c r="R147" s="26" t="n">
        <f aca="false">2*PI()*(0.99312619+99.99735956*M147 - 0.00000044*M147^2 - INT(0.99312619+99.99735956*M147- 0.00000044*M147^2))</f>
        <v>4.96108395749942</v>
      </c>
      <c r="S147" s="26" t="n">
        <f aca="false">2*PI()*(0.827361+1236.853086*M147 - INT(0.827361+1236.853086*M147))</f>
        <v>4.98546674855591</v>
      </c>
      <c r="T147" s="26" t="n">
        <f aca="false">2*PI()*(0.259086+1342.227825*M147 - INT(0.259086+1342.227825*M147))</f>
        <v>1.5552504087468</v>
      </c>
      <c r="U147" s="26" t="n">
        <f aca="false">T147+(P147+412*SIN(2*T147)+541*SIN(R147))/206264.8062</f>
        <v>1.51520875810117</v>
      </c>
      <c r="V147" s="26" t="n">
        <f aca="false">T147-2*S147</f>
        <v>-8.41568308836503</v>
      </c>
      <c r="W147" s="25" t="n">
        <f aca="false">-526*SIN(V147)+44*SIN(Q147+V147)-31*SIN(-Q147+V147)-23*SIN(R147+V147)+11*SIN(-R147+V147)-25*SIN(-2*Q147+T147)+21*SIN(-Q147+T147)</f>
        <v>418.58310551697</v>
      </c>
      <c r="X147" s="26" t="n">
        <f aca="false">2*PI()*(O147+P147/1296000-INT(O147+P147/1296000))</f>
        <v>2.28771144345907</v>
      </c>
      <c r="Y147" s="26" t="n">
        <f aca="false">(18520*SIN(U147)+W147)/206264.8062</f>
        <v>0.0916781569605303</v>
      </c>
      <c r="Z147" s="26" t="n">
        <f aca="false">Y147*180/PI()</f>
        <v>5.25277146737629</v>
      </c>
      <c r="AA147" s="26" t="n">
        <f aca="false">COS(Y147)*COS(X147)</f>
        <v>-0.654302972256489</v>
      </c>
      <c r="AB147" s="26" t="n">
        <f aca="false">COS(Y147)*SIN(X147)</f>
        <v>0.750670538266323</v>
      </c>
      <c r="AC147" s="26" t="n">
        <f aca="false">SIN(Y147)</f>
        <v>0.0915497868663483</v>
      </c>
      <c r="AD147" s="26" t="n">
        <f aca="false">COS($A$4*(23.4393-46.815*M147/3600))*AB147-SIN($A$4*(23.4393-46.815*M147/3600))*AC147</f>
        <v>0.652330075330916</v>
      </c>
      <c r="AE147" s="26" t="n">
        <f aca="false">SIN($A$4*(23.4393-46.815*M147/3600))*AB147+COS($A$4*(23.4393-46.815*M147/3600))*AC147</f>
        <v>0.382561228191105</v>
      </c>
      <c r="AF147" s="26" t="n">
        <f aca="false">SQRT(1-AE147*AE147)</f>
        <v>0.923930141669225</v>
      </c>
      <c r="AG147" s="10" t="n">
        <f aca="false">ATAN(AE147/AF147)/$A$4</f>
        <v>22.4924215318321</v>
      </c>
      <c r="AH147" s="26" t="n">
        <f aca="false">IF(24*ATAN(AD147/(AA147+AF147))/PI()&gt;0,24*ATAN(AD147/(AA147+AF147))/PI(),24*ATAN(AD147/(AA147+AF147))/PI()+24)</f>
        <v>9.00576742294789</v>
      </c>
      <c r="AI147" s="10" t="n">
        <f aca="false">IF(N147-15*AH147&gt;0,N147-15*AH147,360+N147-15*AH147)</f>
        <v>297.490128521307</v>
      </c>
      <c r="AJ147" s="18" t="n">
        <f aca="false">0.950724+0.051818*COS(Q147)+0.009531*COS(2*S147-Q147)+0.007843*COS(2*S147)+0.002824*COS(2*Q147)+0.000857*COS(2*S147+Q147)+0.000533*COS(2*S147-R147)+0.000401*COS(2*S147-R147-Q147)+0.00032*COS(Q147-R147)-0.000271*COS(S147)</f>
        <v>0.908165326979641</v>
      </c>
      <c r="AK147" s="50" t="n">
        <f aca="false">ASIN(COS($A$4*$G$2)*COS($A$4*AG147)*COS($A$4*AI147)+SIN($A$4*$G$2)*SIN($A$4*AG147))/$A$4</f>
        <v>14.0696014704124</v>
      </c>
      <c r="AL147" s="18" t="n">
        <f aca="false">ASIN((0.9983271+0.0016764*COS($A$4*2*$G$2))*COS($A$4*AK147)*SIN($A$4*AJ147))/$A$4</f>
        <v>0.880471340771238</v>
      </c>
      <c r="AM147" s="18" t="n">
        <f aca="false">AK147-AL147</f>
        <v>13.1891301296411</v>
      </c>
      <c r="AN147" s="10" t="n">
        <f aca="false"> IF(280.4664567 + 360007.6982779*M147/10 + 0.03032028*M147^2/100 + M147^3/49931000&lt;0,MOD(280.4664567 + 360007.6982779*M147/10 + 0.03032028*M147^2/100 + M147^3/49931000+360,360),MOD(280.4664567 + 360007.6982779*M147/10 + 0.03032028*M147^2/100 + M147^3/49931000,360))</f>
        <v>207.58242228187</v>
      </c>
      <c r="AO147" s="27" t="n">
        <f aca="false"> AN147 + (1.9146 - 0.004817*M147 - 0.000014*M147^2)*SIN(R147)+ (0.019993 - 0.000101*M147)*SIN(2*R147)+ 0.00029*SIN(3*R147)</f>
        <v>205.718475651562</v>
      </c>
      <c r="AP147" s="18" t="n">
        <f aca="false">ACOS(COS(X147-$A$4*AO147)*COS(Y147))/$A$4</f>
        <v>74.7083398566228</v>
      </c>
      <c r="AQ147" s="25" t="n">
        <f aca="false">180 - AP147 -0.1468*(1-0.0549*SIN(R147))*SIN($A$4*AP147)/(1-0.0167*SIN($A$4*AO147))</f>
        <v>105.143595678988</v>
      </c>
      <c r="AR147" s="25" t="n">
        <f aca="false">SIN($A$4*AI147)</f>
        <v>-0.887090374591556</v>
      </c>
      <c r="AS147" s="25" t="n">
        <f aca="false">COS($A$4*AI147)*SIN($A$4*$G$2) - TAN($A$4*AG147)*COS($A$4*$G$2)</f>
        <v>-0.561502799497426</v>
      </c>
      <c r="AT147" s="25" t="n">
        <f aca="false">IF(OR(AND(AR147*AS147&gt;0), AND(AR147&lt;0,AS147&gt;0)), MOD(ATAN2(AS147,AR147)/$A$4+360,360),  ATAN2(AS147,AR147)/$A$4)</f>
        <v>237.667361197272</v>
      </c>
      <c r="AU147" s="29" t="n">
        <f aca="false">(1+SIN($A$4*H147)*SIN($A$4*AJ147))*120*ASIN(0.272481*SIN($A$4*AJ147))/$A$4</f>
        <v>29.8011688094993</v>
      </c>
      <c r="AV147" s="10" t="n">
        <f aca="false">COS(X147)</f>
        <v>-0.657062305168025</v>
      </c>
      <c r="AW147" s="10" t="n">
        <f aca="false">SIN(X147)</f>
        <v>0.75383627342234</v>
      </c>
      <c r="AX147" s="30" t="n">
        <f aca="false"> 385000.56 + (-20905355*COS(Q147) - 3699111*COS(2*S147-Q147) - 2955968*COS(2*S147) - 569925*COS(2*Q147) + (1-0.002516*M147)*48888*COS(R147) - 3149*COS(2*T147)  +246158*COS(2*S147-2*Q147) -(1-0.002516*M147)*152138*COS(2*S147-R147-Q147) -170733*COS(2*S147+Q147) -(1-0.002516*M147)*204586*COS(2*S147-R147) -(1-0.002516*M147)*129620*COS(R147-Q147)  + 108743*COS(S147) +(1-0.002516*M147)*104755*COS(R147+Q147) +10321*COS(2*S147-2*T147) +79661*COS(Q147-2*T147) -34782*COS(4*S147-Q147) -23210*COS(3*Q147)  -21636*COS(4*S147-2*Q147) +(1-0.002516*M147)*24208*COS(2*S147+R147-Q147) +(1-0.002516*M147)*30824*COS(2*S147+R147) -8379*COS(S147-Q147) -(1-0.002516*M147)*16675*COS(S147+R147)  -(1-0.002516*M147)*12831*COS(2*S147-R147+Q147) -10445*COS(2*S147+2*Q147) -11650*COS(4*S147) +14403*COS(2*S147-3*Q147) -(1-0.002516*M147)*7003*COS(R147-2*Q147)  + (1-0.002516*M147)*10056*COS(2*S147-R147-2*Q147) +6322*COS(S147+Q147) -(1-0.002516*M147)*(1-0.002516*M147)*9884*COS(2*S147-2*R147) +(1-0.002516*M147)*5751*COS(R147+2*Q147) -(1-0.002516*M147)*(1-0.002516*M147)*4950*COS(2*S147-2*R147-Q147)  +4130*COS(2*S147+Q147-2*T147) -(1-0.002516*M147)*3958*COS(4*S147-R147-Q147) +3258*COS(3*S147-Q147) +(1-0.002516*M147)*2616*COS(2*S147+R147+Q147) -(1-0.002516*M147)*1897*COS(4*S147-R147-2*Q147)  -(1-0.002516*M147)*(1-0.002516*M147)*2117*COS(2*R147-Q147) +(1-0.002516*M147)*(1-0.002516*M147)*2354*COS(2*S147+2*R147-Q147) -1423*COS(4*S147+Q147) -1117*COS(4*Q147) -(1-0.002516*M147)*1571*COS(4*S147-R147)  -1739*COS(S147-2*Q147) -4421*COS(2*Q147-2*T147) +(1-0.002516*M147)*(1-0.002516*M147)*1165*COS(2*R147+Q147) +8752*COS(2*S147-Q147-2*T147))/1000</f>
        <v>402466.146353953</v>
      </c>
      <c r="AY147" s="10" t="n">
        <f aca="false">AY146+1/8</f>
        <v>19.125</v>
      </c>
      <c r="AZ147" s="17" t="n">
        <f aca="false">AZ146+1</f>
        <v>146</v>
      </c>
      <c r="BA147" s="32" t="n">
        <f aca="false">ATAN(0.99664719*TAN($A$4*input!$E$2))</f>
        <v>-0.400219206115995</v>
      </c>
      <c r="BB147" s="32" t="n">
        <f aca="false">COS(BA147)</f>
        <v>0.920975608992155</v>
      </c>
      <c r="BC147" s="32" t="n">
        <f aca="false">0.99664719*SIN(BA147)</f>
        <v>-0.388313912533463</v>
      </c>
      <c r="BD147" s="32" t="n">
        <f aca="false">6378.14/AX147</f>
        <v>0.0158476434795355</v>
      </c>
      <c r="BE147" s="33" t="n">
        <f aca="false">MOD(N147-15*AH147,360)</f>
        <v>297.490128521307</v>
      </c>
      <c r="BF147" s="27" t="n">
        <f aca="false">COS($A$4*AG147)*SIN($A$4*BE147)</f>
        <v>-0.819609535469782</v>
      </c>
      <c r="BG147" s="27" t="n">
        <f aca="false">COS($A$4*AG147)*COS($A$4*BE147)-BB147*BD147</f>
        <v>0.41188696450042</v>
      </c>
      <c r="BH147" s="27" t="n">
        <f aca="false">SIN($A$4*AG147)-BC147*BD147</f>
        <v>0.388715088635078</v>
      </c>
      <c r="BI147" s="46" t="n">
        <f aca="false">SQRT(BF147^2+BG147^2+BH147^2)</f>
        <v>0.996248002402483</v>
      </c>
      <c r="BJ147" s="35" t="n">
        <f aca="false">AX147*BI147</f>
        <v>400956.094339751</v>
      </c>
    </row>
    <row r="148" customFormat="false" ht="15" hidden="false" customHeight="false" outlineLevel="0" collapsed="false">
      <c r="A148" s="20"/>
      <c r="B148" s="20"/>
      <c r="C148" s="15" t="n">
        <f aca="false">MOD(C147+3,24)</f>
        <v>6</v>
      </c>
      <c r="D148" s="17" t="n">
        <v>19</v>
      </c>
      <c r="E148" s="102" t="n">
        <f aca="false">input!$C$2</f>
        <v>10</v>
      </c>
      <c r="F148" s="102" t="n">
        <f aca="false">input!$D$2</f>
        <v>2022</v>
      </c>
      <c r="H148" s="39" t="n">
        <f aca="false">AM148</f>
        <v>40.625298626652</v>
      </c>
      <c r="I148" s="48" t="n">
        <f aca="false">H148+1.02/(TAN($A$4*(H148+10.3/(H148+5.11)))*60)</f>
        <v>40.6449582527914</v>
      </c>
      <c r="J148" s="39" t="n">
        <f aca="false">100*(1+COS($A$4*AQ148))/2</f>
        <v>35.7852867545424</v>
      </c>
      <c r="K148" s="48" t="n">
        <f aca="false">IF(AI148&gt;180,AT148-180,AT148+180)</f>
        <v>23.6018727975415</v>
      </c>
      <c r="L148" s="10" t="n">
        <f aca="false">L147+1/8</f>
        <v>2459871.75</v>
      </c>
      <c r="M148" s="49" t="n">
        <f aca="false">(L148-2451545)/36525</f>
        <v>0.227973990417522</v>
      </c>
      <c r="N148" s="15" t="n">
        <f aca="false">MOD(280.46061837+360.98564736629*(L148-2451545)+0.000387933*M148^2-M148^3/38710000+$G$4,360)</f>
        <v>117.699845786672</v>
      </c>
      <c r="O148" s="18" t="n">
        <f aca="false">0.60643382+1336.85522467*M148 - 0.00000313*M148^2 - INT(0.60643382+1336.85522467*M148 - 0.00000313*M148^2)</f>
        <v>0.374653835860386</v>
      </c>
      <c r="P148" s="15" t="n">
        <f aca="false">22640*SIN(Q148)-4586*SIN(Q148-2*S148)+2370*SIN(2*S148)+769*SIN(2*Q148)-668*SIN(R148)-412*SIN(2*T148)-212*SIN(2*Q148-2*S148)-206*SIN(Q148+R148-2*S148)+192*SIN(Q148+2*S148)-165*SIN(R148-2*S148)-125*SIN(S148)-110*SIN(Q148+R148)+148*SIN(Q148-R148)-55*SIN(2*T148-2*S148)</f>
        <v>-8267.73776866993</v>
      </c>
      <c r="Q148" s="18" t="n">
        <f aca="false">2*PI()*(0.374897+1325.55241*M148 - INT(0.374897+1325.55241*M148))</f>
        <v>3.55860398841966</v>
      </c>
      <c r="R148" s="26" t="n">
        <f aca="false">2*PI()*(0.99312619+99.99735956*M148 - 0.00000044*M148^2 - INT(0.99312619+99.99735956*M148- 0.00000044*M148^2))</f>
        <v>4.96323420369752</v>
      </c>
      <c r="S148" s="26" t="n">
        <f aca="false">2*PI()*(0.827361+1236.853086*M148 - INT(0.827361+1236.853086*M148))</f>
        <v>5.01206283732119</v>
      </c>
      <c r="T148" s="26" t="n">
        <f aca="false">2*PI()*(0.259086+1342.227825*M148 - INT(0.259086+1342.227825*M148))</f>
        <v>1.58411237366456</v>
      </c>
      <c r="U148" s="26" t="n">
        <f aca="false">T148+(P148+412*SIN(2*T148)+541*SIN(R148))/206264.8062</f>
        <v>1.54143530548219</v>
      </c>
      <c r="V148" s="26" t="n">
        <f aca="false">T148-2*S148</f>
        <v>-8.44001330097783</v>
      </c>
      <c r="W148" s="25" t="n">
        <f aca="false">-526*SIN(V148)+44*SIN(Q148+V148)-31*SIN(-Q148+V148)-23*SIN(R148+V148)+11*SIN(-R148+V148)-25*SIN(-2*Q148+T148)+21*SIN(-Q148+T148)</f>
        <v>412.847370876585</v>
      </c>
      <c r="X148" s="26" t="n">
        <f aca="false">2*PI()*(O148+P148/1296000-INT(O148+P148/1296000))</f>
        <v>2.31393635293568</v>
      </c>
      <c r="Y148" s="26" t="n">
        <f aca="false">(18520*SIN(U148)+W148)/206264.8062</f>
        <v>0.0917503355455768</v>
      </c>
      <c r="Z148" s="26" t="n">
        <f aca="false">Y148*180/PI()</f>
        <v>5.25690699567069</v>
      </c>
      <c r="AA148" s="26" t="n">
        <f aca="false">COS(Y148)*COS(X148)</f>
        <v>-0.673757525825383</v>
      </c>
      <c r="AB148" s="26" t="n">
        <f aca="false">COS(Y148)*SIN(X148)</f>
        <v>0.733250480687119</v>
      </c>
      <c r="AC148" s="26" t="n">
        <f aca="false">SIN(Y148)</f>
        <v>0.0916216620989151</v>
      </c>
      <c r="AD148" s="26" t="n">
        <f aca="false">COS($A$4*(23.4393-46.815*M148/3600))*AB148-SIN($A$4*(23.4393-46.815*M148/3600))*AC148</f>
        <v>0.636318540914008</v>
      </c>
      <c r="AE148" s="26" t="n">
        <f aca="false">SIN($A$4*(23.4393-46.815*M148/3600))*AB148+COS($A$4*(23.4393-46.815*M148/3600))*AC148</f>
        <v>0.375698696940417</v>
      </c>
      <c r="AF148" s="26" t="n">
        <f aca="false">SQRT(1-AE148*AE148)</f>
        <v>0.926741867575472</v>
      </c>
      <c r="AG148" s="10" t="n">
        <f aca="false">ATAN(AE148/AF148)/$A$4</f>
        <v>22.0675031526456</v>
      </c>
      <c r="AH148" s="26" t="n">
        <f aca="false">IF(24*ATAN(AD148/(AA148+AF148))/PI()&gt;0,24*ATAN(AD148/(AA148+AF148))/PI(),24*ATAN(AD148/(AA148+AF148))/PI()+24)</f>
        <v>9.10912914186343</v>
      </c>
      <c r="AI148" s="10" t="n">
        <f aca="false">IF(N148-15*AH148&gt;0,N148-15*AH148,360+N148-15*AH148)</f>
        <v>341.062908658721</v>
      </c>
      <c r="AJ148" s="18" t="n">
        <f aca="false">0.950724+0.051818*COS(Q148)+0.009531*COS(2*S148-Q148)+0.007843*COS(2*S148)+0.002824*COS(2*Q148)+0.000857*COS(2*S148+Q148)+0.000533*COS(2*S148-R148)+0.000401*COS(2*S148-R148-Q148)+0.00032*COS(Q148-R148)-0.000271*COS(S148)</f>
        <v>0.908774651389742</v>
      </c>
      <c r="AK148" s="50" t="n">
        <f aca="false">ASIN(COS($A$4*$G$2)*COS($A$4*AG148)*COS($A$4*AI148)+SIN($A$4*$G$2)*SIN($A$4*AG148))/$A$4</f>
        <v>41.3075894477726</v>
      </c>
      <c r="AL148" s="18" t="n">
        <f aca="false">ASIN((0.9983271+0.0016764*COS($A$4*2*$G$2))*COS($A$4*AK148)*SIN($A$4*AJ148))/$A$4</f>
        <v>0.682290821120607</v>
      </c>
      <c r="AM148" s="18" t="n">
        <f aca="false">AK148-AL148</f>
        <v>40.625298626652</v>
      </c>
      <c r="AN148" s="10" t="n">
        <f aca="false"> IF(280.4664567 + 360007.6982779*M148/10 + 0.03032028*M148^2/100 + M148^3/49931000&lt;0,MOD(280.4664567 + 360007.6982779*M148/10 + 0.03032028*M148^2/100 + M148^3/49931000+360,360),MOD(280.4664567 + 360007.6982779*M148/10 + 0.03032028*M148^2/100 + M148^3/49931000,360))</f>
        <v>207.705628202357</v>
      </c>
      <c r="AO148" s="27" t="n">
        <f aca="false"> AN148 + (1.9146 - 0.004817*M148 - 0.000014*M148^2)*SIN(R148)+ (0.019993 - 0.000101*M148)*SIN(2*R148)+ 0.00029*SIN(3*R148)</f>
        <v>205.842621954201</v>
      </c>
      <c r="AP148" s="18" t="n">
        <f aca="false">ACOS(COS(X148-$A$4*AO148)*COS(Y148))/$A$4</f>
        <v>73.3362881238183</v>
      </c>
      <c r="AQ148" s="25" t="n">
        <f aca="false">180 - AP148 -0.1468*(1-0.0549*SIN(R148))*SIN($A$4*AP148)/(1-0.0167*SIN($A$4*AO148))</f>
        <v>106.516668033427</v>
      </c>
      <c r="AR148" s="25" t="n">
        <f aca="false">SIN($A$4*AI148)</f>
        <v>-0.324529813803395</v>
      </c>
      <c r="AS148" s="25" t="n">
        <f aca="false">COS($A$4*AI148)*SIN($A$4*$G$2) - TAN($A$4*AG148)*COS($A$4*$G$2)</f>
        <v>-0.742753216758148</v>
      </c>
      <c r="AT148" s="25" t="n">
        <f aca="false">IF(OR(AND(AR148*AS148&gt;0), AND(AR148&lt;0,AS148&gt;0)), MOD(ATAN2(AS148,AR148)/$A$4+360,360),  ATAN2(AS148,AR148)/$A$4)</f>
        <v>203.601872797542</v>
      </c>
      <c r="AU148" s="29" t="n">
        <f aca="false">(1+SIN($A$4*H148)*SIN($A$4*AJ148))*120*ASIN(0.272481*SIN($A$4*AJ148))/$A$4</f>
        <v>30.0205557001482</v>
      </c>
      <c r="AV148" s="10" t="n">
        <f aca="false">COS(X148)</f>
        <v>-0.676603394239051</v>
      </c>
      <c r="AW148" s="10" t="n">
        <f aca="false">SIN(X148)</f>
        <v>0.736347639980054</v>
      </c>
      <c r="AX148" s="30" t="n">
        <f aca="false"> 385000.56 + (-20905355*COS(Q148) - 3699111*COS(2*S148-Q148) - 2955968*COS(2*S148) - 569925*COS(2*Q148) + (1-0.002516*M148)*48888*COS(R148) - 3149*COS(2*T148)  +246158*COS(2*S148-2*Q148) -(1-0.002516*M148)*152138*COS(2*S148-R148-Q148) -170733*COS(2*S148+Q148) -(1-0.002516*M148)*204586*COS(2*S148-R148) -(1-0.002516*M148)*129620*COS(R148-Q148)  + 108743*COS(S148) +(1-0.002516*M148)*104755*COS(R148+Q148) +10321*COS(2*S148-2*T148) +79661*COS(Q148-2*T148) -34782*COS(4*S148-Q148) -23210*COS(3*Q148)  -21636*COS(4*S148-2*Q148) +(1-0.002516*M148)*24208*COS(2*S148+R148-Q148) +(1-0.002516*M148)*30824*COS(2*S148+R148) -8379*COS(S148-Q148) -(1-0.002516*M148)*16675*COS(S148+R148)  -(1-0.002516*M148)*12831*COS(2*S148-R148+Q148) -10445*COS(2*S148+2*Q148) -11650*COS(4*S148) +14403*COS(2*S148-3*Q148) -(1-0.002516*M148)*7003*COS(R148-2*Q148)  + (1-0.002516*M148)*10056*COS(2*S148-R148-2*Q148) +6322*COS(S148+Q148) -(1-0.002516*M148)*(1-0.002516*M148)*9884*COS(2*S148-2*R148) +(1-0.002516*M148)*5751*COS(R148+2*Q148) -(1-0.002516*M148)*(1-0.002516*M148)*4950*COS(2*S148-2*R148-Q148)  +4130*COS(2*S148+Q148-2*T148) -(1-0.002516*M148)*3958*COS(4*S148-R148-Q148) +3258*COS(3*S148-Q148) +(1-0.002516*M148)*2616*COS(2*S148+R148+Q148) -(1-0.002516*M148)*1897*COS(4*S148-R148-2*Q148)  -(1-0.002516*M148)*(1-0.002516*M148)*2117*COS(2*R148-Q148) +(1-0.002516*M148)*(1-0.002516*M148)*2354*COS(2*S148+2*R148-Q148) -1423*COS(4*S148+Q148) -1117*COS(4*Q148) -(1-0.002516*M148)*1571*COS(4*S148-R148)  -1739*COS(S148-2*Q148) -4421*COS(2*Q148-2*T148) +(1-0.002516*M148)*(1-0.002516*M148)*1165*COS(2*R148+Q148) +8752*COS(2*S148-Q148-2*T148))/1000</f>
        <v>402186.19229472</v>
      </c>
      <c r="AY148" s="10" t="n">
        <f aca="false">AY147+1/8</f>
        <v>19.25</v>
      </c>
      <c r="AZ148" s="17" t="n">
        <f aca="false">AZ147+1</f>
        <v>147</v>
      </c>
      <c r="BA148" s="32" t="n">
        <f aca="false">ATAN(0.99664719*TAN($A$4*input!$E$2))</f>
        <v>-0.400219206115995</v>
      </c>
      <c r="BB148" s="32" t="n">
        <f aca="false">COS(BA148)</f>
        <v>0.920975608992155</v>
      </c>
      <c r="BC148" s="32" t="n">
        <f aca="false">0.99664719*SIN(BA148)</f>
        <v>-0.388313912533463</v>
      </c>
      <c r="BD148" s="32" t="n">
        <f aca="false">6378.14/AX148</f>
        <v>0.0158586747188132</v>
      </c>
      <c r="BE148" s="33" t="n">
        <f aca="false">MOD(N148-15*AH148,360)</f>
        <v>341.062908658721</v>
      </c>
      <c r="BF148" s="27" t="n">
        <f aca="false">COS($A$4*AG148)*SIN($A$4*BE148)</f>
        <v>-0.300755365728078</v>
      </c>
      <c r="BG148" s="27" t="n">
        <f aca="false">COS($A$4*AG148)*COS($A$4*BE148)-BB148*BD148</f>
        <v>0.861976944605663</v>
      </c>
      <c r="BH148" s="27" t="n">
        <f aca="false">SIN($A$4*AG148)-BC148*BD148</f>
        <v>0.381856840968075</v>
      </c>
      <c r="BI148" s="46" t="n">
        <f aca="false">SQRT(BF148^2+BG148^2+BH148^2)</f>
        <v>0.989582078475587</v>
      </c>
      <c r="BJ148" s="35" t="n">
        <f aca="false">AX148*BI148</f>
        <v>397996.248105191</v>
      </c>
    </row>
    <row r="149" customFormat="false" ht="15" hidden="false" customHeight="false" outlineLevel="0" collapsed="false">
      <c r="A149" s="20"/>
      <c r="B149" s="20"/>
      <c r="C149" s="15" t="n">
        <f aca="false">MOD(C148+3,24)</f>
        <v>9</v>
      </c>
      <c r="D149" s="17" t="n">
        <v>19</v>
      </c>
      <c r="E149" s="102" t="n">
        <f aca="false">input!$C$2</f>
        <v>10</v>
      </c>
      <c r="F149" s="102" t="n">
        <f aca="false">input!$D$2</f>
        <v>2022</v>
      </c>
      <c r="H149" s="39" t="n">
        <f aca="false">AM149</f>
        <v>38.6247368321954</v>
      </c>
      <c r="I149" s="48" t="n">
        <f aca="false">H149+1.02/(TAN($A$4*(H149+10.3/(H149+5.11)))*60)</f>
        <v>38.6458350992659</v>
      </c>
      <c r="J149" s="39" t="n">
        <f aca="false">100*(1+COS($A$4*AQ149))/2</f>
        <v>34.6387581046096</v>
      </c>
      <c r="K149" s="48" t="n">
        <f aca="false">IF(AI149&gt;180,AT149-180,AT149+180)</f>
        <v>329.928096223809</v>
      </c>
      <c r="L149" s="10" t="n">
        <f aca="false">L148+1/8</f>
        <v>2459871.875</v>
      </c>
      <c r="M149" s="49" t="n">
        <f aca="false">(L149-2451545)/36525</f>
        <v>0.227977412731006</v>
      </c>
      <c r="N149" s="15" t="n">
        <f aca="false">MOD(280.46061837+360.98564736629*(L149-2451545)+0.000387933*M149^2-M149^3/38710000+$G$4,360)</f>
        <v>162.823051707819</v>
      </c>
      <c r="O149" s="18" t="n">
        <f aca="false">0.60643382+1336.85522467*M149 - 0.00000313*M149^2 - INT(0.60643382+1336.85522467*M149 - 0.00000313*M149^2)</f>
        <v>0.379228973516888</v>
      </c>
      <c r="P149" s="15" t="n">
        <f aca="false">22640*SIN(Q149)-4586*SIN(Q149-2*S149)+2370*SIN(2*S149)+769*SIN(2*Q149)-668*SIN(R149)-412*SIN(2*T149)-212*SIN(2*Q149-2*S149)-206*SIN(Q149+R149-2*S149)+192*SIN(Q149+2*S149)-165*SIN(R149-2*S149)-125*SIN(S149)-110*SIN(Q149+R149)+148*SIN(Q149-R149)-55*SIN(2*T149-2*S149)</f>
        <v>-8779.69839768026</v>
      </c>
      <c r="Q149" s="18" t="n">
        <f aca="false">2*PI()*(0.374897+1325.55241*M149 - INT(0.374897+1325.55241*M149))</f>
        <v>3.58710738139146</v>
      </c>
      <c r="R149" s="26" t="n">
        <f aca="false">2*PI()*(0.99312619+99.99735956*M149 - 0.00000044*M149^2 - INT(0.99312619+99.99735956*M149- 0.00000044*M149^2))</f>
        <v>4.96538444989562</v>
      </c>
      <c r="S149" s="26" t="n">
        <f aca="false">2*PI()*(0.827361+1236.853086*M149 - INT(0.827361+1236.853086*M149))</f>
        <v>5.03865892608576</v>
      </c>
      <c r="T149" s="26" t="n">
        <f aca="false">2*PI()*(0.259086+1342.227825*M149 - INT(0.259086+1342.227825*M149))</f>
        <v>1.61297433858196</v>
      </c>
      <c r="U149" s="26" t="n">
        <f aca="false">T149+(P149+412*SIN(2*T149)+541*SIN(R149))/206264.8062</f>
        <v>1.56770151484531</v>
      </c>
      <c r="V149" s="26" t="n">
        <f aca="false">T149-2*S149</f>
        <v>-8.46434351358956</v>
      </c>
      <c r="W149" s="25" t="n">
        <f aca="false">-526*SIN(V149)+44*SIN(Q149+V149)-31*SIN(-Q149+V149)-23*SIN(R149+V149)+11*SIN(-R149+V149)-25*SIN(-2*Q149+T149)+21*SIN(-Q149+T149)</f>
        <v>406.920949855833</v>
      </c>
      <c r="X149" s="26" t="n">
        <f aca="false">2*PI()*(O149+P149/1296000-INT(O149+P149/1296000))</f>
        <v>2.340200735466</v>
      </c>
      <c r="Y149" s="26" t="n">
        <f aca="false">(18520*SIN(U149)+W149)/206264.8062</f>
        <v>0.0917598722129153</v>
      </c>
      <c r="Z149" s="26" t="n">
        <f aca="false">Y149*180/PI()</f>
        <v>5.2574534064598</v>
      </c>
      <c r="AA149" s="26" t="n">
        <f aca="false">COS(Y149)*COS(X149)</f>
        <v>-0.692780703367281</v>
      </c>
      <c r="AB149" s="26" t="n">
        <f aca="false">COS(Y149)*SIN(X149)</f>
        <v>0.715303171953283</v>
      </c>
      <c r="AC149" s="26" t="n">
        <f aca="false">SIN(Y149)</f>
        <v>0.0916311586498136</v>
      </c>
      <c r="AD149" s="26" t="n">
        <f aca="false">COS($A$4*(23.4393-46.815*M149/3600))*AB149-SIN($A$4*(23.4393-46.815*M149/3600))*AC149</f>
        <v>0.619848062053166</v>
      </c>
      <c r="AE149" s="26" t="n">
        <f aca="false">SIN($A$4*(23.4393-46.815*M149/3600))*AB149+COS($A$4*(23.4393-46.815*M149/3600))*AC149</f>
        <v>0.368569229603977</v>
      </c>
      <c r="AF149" s="26" t="n">
        <f aca="false">SQRT(1-AE149*AE149)</f>
        <v>0.929600302812521</v>
      </c>
      <c r="AG149" s="10" t="n">
        <f aca="false">ATAN(AE149/AF149)/$A$4</f>
        <v>21.6274049997739</v>
      </c>
      <c r="AH149" s="26" t="n">
        <f aca="false">IF(24*ATAN(AD149/(AA149+AF149))/PI()&gt;0,24*ATAN(AD149/(AA149+AF149))/PI(),24*ATAN(AD149/(AA149+AF149))/PI()+24)</f>
        <v>9.21201426460569</v>
      </c>
      <c r="AI149" s="10" t="n">
        <f aca="false">IF(N149-15*AH149&gt;0,N149-15*AH149,360+N149-15*AH149)</f>
        <v>24.6428377387337</v>
      </c>
      <c r="AJ149" s="18" t="n">
        <f aca="false">0.950724+0.051818*COS(Q149)+0.009531*COS(2*S149-Q149)+0.007843*COS(2*S149)+0.002824*COS(2*Q149)+0.000857*COS(2*S149+Q149)+0.000533*COS(2*S149-R149)+0.000401*COS(2*S149-R149-Q149)+0.00032*COS(Q149-R149)-0.000271*COS(S149)</f>
        <v>0.909425428245304</v>
      </c>
      <c r="AK149" s="50" t="n">
        <f aca="false">ASIN(COS($A$4*$G$2)*COS($A$4*AG149)*COS($A$4*AI149)+SIN($A$4*$G$2)*SIN($A$4*AG149))/$A$4</f>
        <v>39.3278373526447</v>
      </c>
      <c r="AL149" s="18" t="n">
        <f aca="false">ASIN((0.9983271+0.0016764*COS($A$4*2*$G$2))*COS($A$4*AK149)*SIN($A$4*AJ149))/$A$4</f>
        <v>0.703100520449334</v>
      </c>
      <c r="AM149" s="18" t="n">
        <f aca="false">AK149-AL149</f>
        <v>38.6247368321954</v>
      </c>
      <c r="AN149" s="10" t="n">
        <f aca="false"> IF(280.4664567 + 360007.6982779*M149/10 + 0.03032028*M149^2/100 + M149^3/49931000&lt;0,MOD(280.4664567 + 360007.6982779*M149/10 + 0.03032028*M149^2/100 + M149^3/49931000+360,360),MOD(280.4664567 + 360007.6982779*M149/10 + 0.03032028*M149^2/100 + M149^3/49931000,360))</f>
        <v>207.828834122842</v>
      </c>
      <c r="AO149" s="27" t="n">
        <f aca="false"> AN149 + (1.9146 - 0.004817*M149 - 0.000014*M149^2)*SIN(R149)+ (0.019993 - 0.000101*M149)*SIN(2*R149)+ 0.00029*SIN(3*R149)</f>
        <v>205.966776995918</v>
      </c>
      <c r="AP149" s="18" t="n">
        <f aca="false">ACOS(COS(X149-$A$4*AO149)*COS(Y149))/$A$4</f>
        <v>71.9619971854256</v>
      </c>
      <c r="AQ149" s="25" t="n">
        <f aca="false">180 - AP149 -0.1468*(1-0.0549*SIN(R149))*SIN($A$4*AP149)/(1-0.0167*SIN($A$4*AO149))</f>
        <v>107.892065671282</v>
      </c>
      <c r="AR149" s="25" t="n">
        <f aca="false">SIN($A$4*AI149)</f>
        <v>0.41696047493963</v>
      </c>
      <c r="AS149" s="25" t="n">
        <f aca="false">COS($A$4*AI149)*SIN($A$4*$G$2) - TAN($A$4*AG149)*COS($A$4*$G$2)</f>
        <v>-0.720108195053107</v>
      </c>
      <c r="AT149" s="25" t="n">
        <f aca="false">IF(OR(AND(AR149*AS149&gt;0), AND(AR149&lt;0,AS149&gt;0)), MOD(ATAN2(AS149,AR149)/$A$4+360,360),  ATAN2(AS149,AR149)/$A$4)</f>
        <v>149.928096223809</v>
      </c>
      <c r="AU149" s="29" t="n">
        <f aca="false">(1+SIN($A$4*H149)*SIN($A$4*AJ149))*120*ASIN(0.272481*SIN($A$4*AJ149))/$A$4</f>
        <v>30.0295799016779</v>
      </c>
      <c r="AV149" s="10" t="n">
        <f aca="false">COS(X149)</f>
        <v>-0.695707533813206</v>
      </c>
      <c r="AW149" s="10" t="n">
        <f aca="false">SIN(X149)</f>
        <v>0.718325154366424</v>
      </c>
      <c r="AX149" s="30" t="n">
        <f aca="false"> 385000.56 + (-20905355*COS(Q149) - 3699111*COS(2*S149-Q149) - 2955968*COS(2*S149) - 569925*COS(2*Q149) + (1-0.002516*M149)*48888*COS(R149) - 3149*COS(2*T149)  +246158*COS(2*S149-2*Q149) -(1-0.002516*M149)*152138*COS(2*S149-R149-Q149) -170733*COS(2*S149+Q149) -(1-0.002516*M149)*204586*COS(2*S149-R149) -(1-0.002516*M149)*129620*COS(R149-Q149)  + 108743*COS(S149) +(1-0.002516*M149)*104755*COS(R149+Q149) +10321*COS(2*S149-2*T149) +79661*COS(Q149-2*T149) -34782*COS(4*S149-Q149) -23210*COS(3*Q149)  -21636*COS(4*S149-2*Q149) +(1-0.002516*M149)*24208*COS(2*S149+R149-Q149) +(1-0.002516*M149)*30824*COS(2*S149+R149) -8379*COS(S149-Q149) -(1-0.002516*M149)*16675*COS(S149+R149)  -(1-0.002516*M149)*12831*COS(2*S149-R149+Q149) -10445*COS(2*S149+2*Q149) -11650*COS(4*S149) +14403*COS(2*S149-3*Q149) -(1-0.002516*M149)*7003*COS(R149-2*Q149)  + (1-0.002516*M149)*10056*COS(2*S149-R149-2*Q149) +6322*COS(S149+Q149) -(1-0.002516*M149)*(1-0.002516*M149)*9884*COS(2*S149-2*R149) +(1-0.002516*M149)*5751*COS(R149+2*Q149) -(1-0.002516*M149)*(1-0.002516*M149)*4950*COS(2*S149-2*R149-Q149)  +4130*COS(2*S149+Q149-2*T149) -(1-0.002516*M149)*3958*COS(4*S149-R149-Q149) +3258*COS(3*S149-Q149) +(1-0.002516*M149)*2616*COS(2*S149+R149+Q149) -(1-0.002516*M149)*1897*COS(4*S149-R149-2*Q149)  -(1-0.002516*M149)*(1-0.002516*M149)*2117*COS(2*R149-Q149) +(1-0.002516*M149)*(1-0.002516*M149)*2354*COS(2*S149+2*R149-Q149) -1423*COS(4*S149+Q149) -1117*COS(4*Q149) -(1-0.002516*M149)*1571*COS(4*S149-R149)  -1739*COS(S149-2*Q149) -4421*COS(2*Q149-2*T149) +(1-0.002516*M149)*(1-0.002516*M149)*1165*COS(2*R149+Q149) +8752*COS(2*S149-Q149-2*T149))/1000</f>
        <v>401887.889944962</v>
      </c>
      <c r="AY149" s="10" t="n">
        <f aca="false">AY148+1/8</f>
        <v>19.375</v>
      </c>
      <c r="AZ149" s="17" t="n">
        <f aca="false">AZ148+1</f>
        <v>148</v>
      </c>
      <c r="BA149" s="32" t="n">
        <f aca="false">ATAN(0.99664719*TAN($A$4*input!$E$2))</f>
        <v>-0.400219206115995</v>
      </c>
      <c r="BB149" s="32" t="n">
        <f aca="false">COS(BA149)</f>
        <v>0.920975608992155</v>
      </c>
      <c r="BC149" s="32" t="n">
        <f aca="false">0.99664719*SIN(BA149)</f>
        <v>-0.388313912533463</v>
      </c>
      <c r="BD149" s="32" t="n">
        <f aca="false">6378.14/AX149</f>
        <v>0.0158704458620872</v>
      </c>
      <c r="BE149" s="33" t="n">
        <f aca="false">MOD(N149-15*AH149,360)</f>
        <v>24.6428377387337</v>
      </c>
      <c r="BF149" s="27" t="n">
        <f aca="false">COS($A$4*AG149)*SIN($A$4*BE149)</f>
        <v>0.387606583764733</v>
      </c>
      <c r="BG149" s="27" t="n">
        <f aca="false">COS($A$4*AG149)*COS($A$4*BE149)-BB149*BD149</f>
        <v>0.83032030716245</v>
      </c>
      <c r="BH149" s="27" t="n">
        <f aca="false">SIN($A$4*AG149)-BC149*BD149</f>
        <v>0.374731944530335</v>
      </c>
      <c r="BI149" s="46" t="n">
        <f aca="false">SQRT(BF149^2+BG149^2+BH149^2)</f>
        <v>0.989997326519419</v>
      </c>
      <c r="BJ149" s="35" t="n">
        <f aca="false">AX149*BI149</f>
        <v>397867.936606043</v>
      </c>
    </row>
    <row r="150" customFormat="false" ht="15" hidden="false" customHeight="false" outlineLevel="0" collapsed="false">
      <c r="A150" s="20"/>
      <c r="B150" s="20"/>
      <c r="C150" s="15" t="n">
        <f aca="false">MOD(C149+3,24)</f>
        <v>12</v>
      </c>
      <c r="D150" s="17" t="n">
        <v>19</v>
      </c>
      <c r="E150" s="102" t="n">
        <f aca="false">input!$C$2</f>
        <v>10</v>
      </c>
      <c r="F150" s="102" t="n">
        <f aca="false">input!$D$2</f>
        <v>2022</v>
      </c>
      <c r="H150" s="39" t="n">
        <f aca="false">AM150</f>
        <v>9.31335717908605</v>
      </c>
      <c r="I150" s="48" t="n">
        <f aca="false">H150+1.02/(TAN($A$4*(H150+10.3/(H150+5.11)))*60)</f>
        <v>9.40949933898579</v>
      </c>
      <c r="J150" s="39" t="n">
        <f aca="false">100*(1+COS($A$4*AQ150))/2</f>
        <v>33.499046024282</v>
      </c>
      <c r="K150" s="48" t="n">
        <f aca="false">IF(AI150&gt;180,AT150-180,AT150+180)</f>
        <v>298.367131655844</v>
      </c>
      <c r="L150" s="10" t="n">
        <f aca="false">L149+1/8</f>
        <v>2459872</v>
      </c>
      <c r="M150" s="49" t="n">
        <f aca="false">(L150-2451545)/36525</f>
        <v>0.22798083504449</v>
      </c>
      <c r="N150" s="15" t="n">
        <f aca="false">MOD(280.46061837+360.98564736629*(L150-2451545)+0.000387933*M150^2-M150^3/38710000+$G$4,360)</f>
        <v>207.946257629432</v>
      </c>
      <c r="O150" s="18" t="n">
        <f aca="false">0.60643382+1336.85522467*M150 - 0.00000313*M150^2 - INT(0.60643382+1336.85522467*M150 - 0.00000313*M150^2)</f>
        <v>0.383804111173447</v>
      </c>
      <c r="P150" s="15" t="n">
        <f aca="false">22640*SIN(Q150)-4586*SIN(Q150-2*S150)+2370*SIN(2*S150)+769*SIN(2*Q150)-668*SIN(R150)-412*SIN(2*T150)-212*SIN(2*Q150-2*S150)-206*SIN(Q150+R150-2*S150)+192*SIN(Q150+2*S150)-165*SIN(R150-2*S150)-125*SIN(S150)-110*SIN(Q150+R150)+148*SIN(Q150-R150)-55*SIN(2*T150-2*S150)</f>
        <v>-9283.05266650294</v>
      </c>
      <c r="Q150" s="18" t="n">
        <f aca="false">2*PI()*(0.374897+1325.55241*M150 - INT(0.374897+1325.55241*M150))</f>
        <v>3.61561077436326</v>
      </c>
      <c r="R150" s="26" t="n">
        <f aca="false">2*PI()*(0.99312619+99.99735956*M150 - 0.00000044*M150^2 - INT(0.99312619+99.99735956*M150- 0.00000044*M150^2))</f>
        <v>4.96753469609371</v>
      </c>
      <c r="S150" s="26" t="n">
        <f aca="false">2*PI()*(0.827361+1236.853086*M150 - INT(0.827361+1236.853086*M150))</f>
        <v>5.06525501485068</v>
      </c>
      <c r="T150" s="26" t="n">
        <f aca="false">2*PI()*(0.259086+1342.227825*M150 - INT(0.259086+1342.227825*M150))</f>
        <v>1.64183630349972</v>
      </c>
      <c r="U150" s="26" t="n">
        <f aca="false">T150+(P150+412*SIN(2*T150)+541*SIN(R150))/206264.8062</f>
        <v>1.59401002137556</v>
      </c>
      <c r="V150" s="26" t="n">
        <f aca="false">T150-2*S150</f>
        <v>-8.48867372620165</v>
      </c>
      <c r="W150" s="25" t="n">
        <f aca="false">-526*SIN(V150)+44*SIN(Q150+V150)-31*SIN(-Q150+V150)-23*SIN(R150+V150)+11*SIN(-R150+V150)-25*SIN(-2*Q150+T150)+21*SIN(-Q150+T150)</f>
        <v>400.80414886845</v>
      </c>
      <c r="X150" s="26" t="n">
        <f aca="false">2*PI()*(O150+P150/1296000-INT(O150+P150/1296000))</f>
        <v>2.36650684280831</v>
      </c>
      <c r="Y150" s="26" t="n">
        <f aca="false">(18520*SIN(U150)+W150)/206264.8062</f>
        <v>0.0917064560514512</v>
      </c>
      <c r="Z150" s="26" t="n">
        <f aca="false">Y150*180/PI()</f>
        <v>5.25439288585012</v>
      </c>
      <c r="AA150" s="26" t="n">
        <f aca="false">COS(Y150)*COS(X150)</f>
        <v>-0.711359178498223</v>
      </c>
      <c r="AB150" s="26" t="n">
        <f aca="false">COS(Y150)*SIN(X150)</f>
        <v>0.696836849708802</v>
      </c>
      <c r="AC150" s="26" t="n">
        <f aca="false">SIN(Y150)</f>
        <v>0.0915779670785852</v>
      </c>
      <c r="AD150" s="26" t="n">
        <f aca="false">COS($A$4*(23.4393-46.815*M150/3600))*AB150-SIN($A$4*(23.4393-46.815*M150/3600))*AC150</f>
        <v>0.602926319881094</v>
      </c>
      <c r="AE150" s="26" t="n">
        <f aca="false">SIN($A$4*(23.4393-46.815*M150/3600))*AB150+COS($A$4*(23.4393-46.815*M150/3600))*AC150</f>
        <v>0.361175818627127</v>
      </c>
      <c r="AF150" s="26" t="n">
        <f aca="false">SQRT(1-AE150*AE150)</f>
        <v>0.932497736211207</v>
      </c>
      <c r="AG150" s="10" t="n">
        <f aca="false">ATAN(AE150/AF150)/$A$4</f>
        <v>21.1724246385967</v>
      </c>
      <c r="AH150" s="26" t="n">
        <f aca="false">IF(24*ATAN(AD150/(AA150+AF150))/PI()&gt;0,24*ATAN(AD150/(AA150+AF150))/PI(),24*ATAN(AD150/(AA150+AF150))/PI()+24)</f>
        <v>9.3144271760297</v>
      </c>
      <c r="AI150" s="10" t="n">
        <f aca="false">IF(N150-15*AH150&gt;0,N150-15*AH150,360+N150-15*AH150)</f>
        <v>68.2298499889863</v>
      </c>
      <c r="AJ150" s="18" t="n">
        <f aca="false">0.950724+0.051818*COS(Q150)+0.009531*COS(2*S150-Q150)+0.007843*COS(2*S150)+0.002824*COS(2*Q150)+0.000857*COS(2*S150+Q150)+0.000533*COS(2*S150-R150)+0.000401*COS(2*S150-R150-Q150)+0.00032*COS(Q150-R150)-0.000271*COS(S150)</f>
        <v>0.91011723398213</v>
      </c>
      <c r="AK150" s="50" t="n">
        <f aca="false">ASIN(COS($A$4*$G$2)*COS($A$4*AG150)*COS($A$4*AI150)+SIN($A$4*$G$2)*SIN($A$4*AG150))/$A$4</f>
        <v>10.2086097592678</v>
      </c>
      <c r="AL150" s="18" t="n">
        <f aca="false">ASIN((0.9983271+0.0016764*COS($A$4*2*$G$2))*COS($A$4*AK150)*SIN($A$4*AJ150))/$A$4</f>
        <v>0.895252580181766</v>
      </c>
      <c r="AM150" s="18" t="n">
        <f aca="false">AK150-AL150</f>
        <v>9.31335717908605</v>
      </c>
      <c r="AN150" s="10" t="n">
        <f aca="false"> IF(280.4664567 + 360007.6982779*M150/10 + 0.03032028*M150^2/100 + M150^3/49931000&lt;0,MOD(280.4664567 + 360007.6982779*M150/10 + 0.03032028*M150^2/100 + M150^3/49931000+360,360),MOD(280.4664567 + 360007.6982779*M150/10 + 0.03032028*M150^2/100 + M150^3/49931000,360))</f>
        <v>207.952040043328</v>
      </c>
      <c r="AO150" s="27" t="n">
        <f aca="false"> AN150 + (1.9146 - 0.004817*M150 - 0.000014*M150^2)*SIN(R150)+ (0.019993 - 0.000101*M150)*SIN(2*R150)+ 0.00029*SIN(3*R150)</f>
        <v>206.090940773419</v>
      </c>
      <c r="AP150" s="18" t="n">
        <f aca="false">ACOS(COS(X150-$A$4*AO150)*COS(Y150))/$A$4</f>
        <v>70.5853219831804</v>
      </c>
      <c r="AQ150" s="25" t="n">
        <f aca="false">180 - AP150 -0.1468*(1-0.0549*SIN(R150))*SIN($A$4*AP150)/(1-0.0167*SIN($A$4*AO150))</f>
        <v>109.269933544018</v>
      </c>
      <c r="AR150" s="25" t="n">
        <f aca="false">SIN($A$4*AI150)</f>
        <v>0.928679176300877</v>
      </c>
      <c r="AS150" s="25" t="n">
        <f aca="false">COS($A$4*AI150)*SIN($A$4*$G$2) - TAN($A$4*AG150)*COS($A$4*$G$2)</f>
        <v>-0.501446673162141</v>
      </c>
      <c r="AT150" s="25" t="n">
        <f aca="false">IF(OR(AND(AR150*AS150&gt;0), AND(AR150&lt;0,AS150&gt;0)), MOD(ATAN2(AS150,AR150)/$A$4+360,360),  ATAN2(AS150,AR150)/$A$4)</f>
        <v>118.367131655844</v>
      </c>
      <c r="AU150" s="29" t="n">
        <f aca="false">(1+SIN($A$4*H150)*SIN($A$4*AJ150))*120*ASIN(0.272481*SIN($A$4*AJ150))/$A$4</f>
        <v>29.8340933239838</v>
      </c>
      <c r="AV150" s="10" t="n">
        <f aca="false">COS(X150)</f>
        <v>-0.714360988242449</v>
      </c>
      <c r="AW150" s="10" t="n">
        <f aca="false">SIN(X150)</f>
        <v>0.699777377797591</v>
      </c>
      <c r="AX150" s="30" t="n">
        <f aca="false"> 385000.56 + (-20905355*COS(Q150) - 3699111*COS(2*S150-Q150) - 2955968*COS(2*S150) - 569925*COS(2*Q150) + (1-0.002516*M150)*48888*COS(R150) - 3149*COS(2*T150)  +246158*COS(2*S150-2*Q150) -(1-0.002516*M150)*152138*COS(2*S150-R150-Q150) -170733*COS(2*S150+Q150) -(1-0.002516*M150)*204586*COS(2*S150-R150) -(1-0.002516*M150)*129620*COS(R150-Q150)  + 108743*COS(S150) +(1-0.002516*M150)*104755*COS(R150+Q150) +10321*COS(2*S150-2*T150) +79661*COS(Q150-2*T150) -34782*COS(4*S150-Q150) -23210*COS(3*Q150)  -21636*COS(4*S150-2*Q150) +(1-0.002516*M150)*24208*COS(2*S150+R150-Q150) +(1-0.002516*M150)*30824*COS(2*S150+R150) -8379*COS(S150-Q150) -(1-0.002516*M150)*16675*COS(S150+R150)  -(1-0.002516*M150)*12831*COS(2*S150-R150+Q150) -10445*COS(2*S150+2*Q150) -11650*COS(4*S150) +14403*COS(2*S150-3*Q150) -(1-0.002516*M150)*7003*COS(R150-2*Q150)  + (1-0.002516*M150)*10056*COS(2*S150-R150-2*Q150) +6322*COS(S150+Q150) -(1-0.002516*M150)*(1-0.002516*M150)*9884*COS(2*S150-2*R150) +(1-0.002516*M150)*5751*COS(R150+2*Q150) -(1-0.002516*M150)*(1-0.002516*M150)*4950*COS(2*S150-2*R150-Q150)  +4130*COS(2*S150+Q150-2*T150) -(1-0.002516*M150)*3958*COS(4*S150-R150-Q150) +3258*COS(3*S150-Q150) +(1-0.002516*M150)*2616*COS(2*S150+R150+Q150) -(1-0.002516*M150)*1897*COS(4*S150-R150-2*Q150)  -(1-0.002516*M150)*(1-0.002516*M150)*2117*COS(2*R150-Q150) +(1-0.002516*M150)*(1-0.002516*M150)*2354*COS(2*S150+2*R150-Q150) -1423*COS(4*S150+Q150) -1117*COS(4*Q150) -(1-0.002516*M150)*1571*COS(4*S150-R150)  -1739*COS(S150-2*Q150) -4421*COS(2*Q150-2*T150) +(1-0.002516*M150)*(1-0.002516*M150)*1165*COS(2*R150+Q150) +8752*COS(2*S150-Q150-2*T150))/1000</f>
        <v>401571.580827297</v>
      </c>
      <c r="AY150" s="10" t="n">
        <f aca="false">AY149+1/8</f>
        <v>19.5</v>
      </c>
      <c r="AZ150" s="17" t="n">
        <f aca="false">AZ149+1</f>
        <v>149</v>
      </c>
      <c r="BA150" s="32" t="n">
        <f aca="false">ATAN(0.99664719*TAN($A$4*input!$E$2))</f>
        <v>-0.400219206115995</v>
      </c>
      <c r="BB150" s="32" t="n">
        <f aca="false">COS(BA150)</f>
        <v>0.920975608992155</v>
      </c>
      <c r="BC150" s="32" t="n">
        <f aca="false">0.99664719*SIN(BA150)</f>
        <v>-0.388313912533463</v>
      </c>
      <c r="BD150" s="32" t="n">
        <f aca="false">6378.14/AX150</f>
        <v>0.0158829466638553</v>
      </c>
      <c r="BE150" s="33" t="n">
        <f aca="false">MOD(N150-15*AH150,360)</f>
        <v>68.2298499889863</v>
      </c>
      <c r="BF150" s="27" t="n">
        <f aca="false">COS($A$4*AG150)*SIN($A$4*BE150)</f>
        <v>0.865991229567056</v>
      </c>
      <c r="BG150" s="27" t="n">
        <f aca="false">COS($A$4*AG150)*COS($A$4*BE150)-BB150*BD150</f>
        <v>0.331220741810287</v>
      </c>
      <c r="BH150" s="27" t="n">
        <f aca="false">SIN($A$4*AG150)-BC150*BD150</f>
        <v>0.367343387788729</v>
      </c>
      <c r="BI150" s="46" t="n">
        <f aca="false">SQRT(BF150^2+BG150^2+BH150^2)</f>
        <v>0.997290907430986</v>
      </c>
      <c r="BJ150" s="35" t="n">
        <f aca="false">AX150*BI150</f>
        <v>400483.68624175</v>
      </c>
    </row>
    <row r="151" customFormat="false" ht="15" hidden="false" customHeight="false" outlineLevel="0" collapsed="false">
      <c r="A151" s="20"/>
      <c r="B151" s="20"/>
      <c r="C151" s="15" t="n">
        <f aca="false">MOD(C150+3,24)</f>
        <v>15</v>
      </c>
      <c r="D151" s="17" t="n">
        <v>19</v>
      </c>
      <c r="E151" s="102" t="n">
        <f aca="false">input!$C$2</f>
        <v>10</v>
      </c>
      <c r="F151" s="102" t="n">
        <f aca="false">input!$D$2</f>
        <v>2022</v>
      </c>
      <c r="H151" s="39" t="n">
        <f aca="false">AM151</f>
        <v>-28.0825357357499</v>
      </c>
      <c r="I151" s="48" t="n">
        <f aca="false">H151+1.02/(TAN($A$4*(H151+10.3/(H151+5.11)))*60)</f>
        <v>-28.1138056164957</v>
      </c>
      <c r="J151" s="39" t="n">
        <f aca="false">100*(1+COS($A$4*AQ151))/2</f>
        <v>32.3667416648579</v>
      </c>
      <c r="K151" s="48" t="n">
        <f aca="false">IF(AI151&gt;180,AT151-180,AT151+180)</f>
        <v>282.312809878338</v>
      </c>
      <c r="L151" s="10" t="n">
        <f aca="false">L150+1/8</f>
        <v>2459872.125</v>
      </c>
      <c r="M151" s="49" t="n">
        <f aca="false">(L151-2451545)/36525</f>
        <v>0.227984257357974</v>
      </c>
      <c r="N151" s="15" t="n">
        <f aca="false">MOD(280.46061837+360.98564736629*(L151-2451545)+0.000387933*M151^2-M151^3/38710000+$G$4,360)</f>
        <v>253.069463550579</v>
      </c>
      <c r="O151" s="18" t="n">
        <f aca="false">0.60643382+1336.85522467*M151 - 0.00000313*M151^2 - INT(0.60643382+1336.85522467*M151 - 0.00000313*M151^2)</f>
        <v>0.388379248829949</v>
      </c>
      <c r="P151" s="15" t="n">
        <f aca="false">22640*SIN(Q151)-4586*SIN(Q151-2*S151)+2370*SIN(2*S151)+769*SIN(2*Q151)-668*SIN(R151)-412*SIN(2*T151)-212*SIN(2*Q151-2*S151)-206*SIN(Q151+R151-2*S151)+192*SIN(Q151+2*S151)-165*SIN(R151-2*S151)-125*SIN(S151)-110*SIN(Q151+R151)+148*SIN(Q151-R151)-55*SIN(2*T151-2*S151)</f>
        <v>-9777.3404798718</v>
      </c>
      <c r="Q151" s="18" t="n">
        <f aca="false">2*PI()*(0.374897+1325.55241*M151 - INT(0.374897+1325.55241*M151))</f>
        <v>3.64411416733541</v>
      </c>
      <c r="R151" s="26" t="n">
        <f aca="false">2*PI()*(0.99312619+99.99735956*M151 - 0.00000044*M151^2 - INT(0.99312619+99.99735956*M151- 0.00000044*M151^2))</f>
        <v>4.96968494229181</v>
      </c>
      <c r="S151" s="26" t="n">
        <f aca="false">2*PI()*(0.827361+1236.853086*M151 - INT(0.827361+1236.853086*M151))</f>
        <v>5.0918511036156</v>
      </c>
      <c r="T151" s="26" t="n">
        <f aca="false">2*PI()*(0.259086+1342.227825*M151 - INT(0.259086+1342.227825*M151))</f>
        <v>1.67069826841712</v>
      </c>
      <c r="U151" s="26" t="n">
        <f aca="false">T151+(P151+412*SIN(2*T151)+541*SIN(R151))/206264.8062</f>
        <v>1.62036343723626</v>
      </c>
      <c r="V151" s="26" t="n">
        <f aca="false">T151-2*S151</f>
        <v>-8.51300393881409</v>
      </c>
      <c r="W151" s="25" t="n">
        <f aca="false">-526*SIN(V151)+44*SIN(Q151+V151)-31*SIN(-Q151+V151)-23*SIN(R151+V151)+11*SIN(-R151+V151)-25*SIN(-2*Q151+T151)+21*SIN(-Q151+T151)</f>
        <v>394.497290044248</v>
      </c>
      <c r="X151" s="26" t="n">
        <f aca="false">2*PI()*(O151+P151/1296000-INT(O151+P151/1296000))</f>
        <v>2.3928569055667</v>
      </c>
      <c r="Y151" s="26" t="n">
        <f aca="false">(18520*SIN(U151)+W151)/206264.8062</f>
        <v>0.0915897938006135</v>
      </c>
      <c r="Z151" s="26" t="n">
        <f aca="false">Y151*180/PI()</f>
        <v>5.24770863124862</v>
      </c>
      <c r="AA151" s="26" t="n">
        <f aca="false">COS(Y151)*COS(X151)</f>
        <v>-0.729479626606671</v>
      </c>
      <c r="AB151" s="26" t="n">
        <f aca="false">COS(Y151)*SIN(X151)</f>
        <v>0.677860025761515</v>
      </c>
      <c r="AC151" s="26" t="n">
        <f aca="false">SIN(Y151)</f>
        <v>0.0914617944301914</v>
      </c>
      <c r="AD151" s="26" t="n">
        <f aca="false">COS($A$4*(23.4393-46.815*M151/3600))*AB151-SIN($A$4*(23.4393-46.815*M151/3600))*AC151</f>
        <v>0.585561240519799</v>
      </c>
      <c r="AE151" s="26" t="n">
        <f aca="false">SIN($A$4*(23.4393-46.815*M151/3600))*AB151+COS($A$4*(23.4393-46.815*M151/3600))*AC151</f>
        <v>0.353521580623738</v>
      </c>
      <c r="AF151" s="26" t="n">
        <f aca="false">SQRT(1-AE151*AE151)</f>
        <v>0.935426369113729</v>
      </c>
      <c r="AG151" s="10" t="n">
        <f aca="false">ATAN(AE151/AF151)/$A$4</f>
        <v>20.7028626503856</v>
      </c>
      <c r="AH151" s="26" t="n">
        <f aca="false">IF(24*ATAN(AD151/(AA151+AF151))/PI()&gt;0,24*ATAN(AD151/(AA151+AF151))/PI(),24*ATAN(AD151/(AA151+AF151))/PI()+24)</f>
        <v>9.4163738681741</v>
      </c>
      <c r="AI151" s="10" t="n">
        <f aca="false">IF(N151-15*AH151&gt;0,N151-15*AH151,360+N151-15*AH151)</f>
        <v>111.823855527967</v>
      </c>
      <c r="AJ151" s="18" t="n">
        <f aca="false">0.950724+0.051818*COS(Q151)+0.009531*COS(2*S151-Q151)+0.007843*COS(2*S151)+0.002824*COS(2*Q151)+0.000857*COS(2*S151+Q151)+0.000533*COS(2*S151-R151)+0.000401*COS(2*S151-R151-Q151)+0.00032*COS(Q151-R151)-0.000271*COS(S151)</f>
        <v>0.910849605274774</v>
      </c>
      <c r="AK151" s="50" t="n">
        <f aca="false">ASIN(COS($A$4*$G$2)*COS($A$4*AG151)*COS($A$4*AI151)+SIN($A$4*$G$2)*SIN($A$4*AG151))/$A$4</f>
        <v>-27.2733637146794</v>
      </c>
      <c r="AL151" s="18" t="n">
        <f aca="false">ASIN((0.9983271+0.0016764*COS($A$4*2*$G$2))*COS($A$4*AK151)*SIN($A$4*AJ151))/$A$4</f>
        <v>0.809172021070484</v>
      </c>
      <c r="AM151" s="18" t="n">
        <f aca="false">AK151-AL151</f>
        <v>-28.0825357357499</v>
      </c>
      <c r="AN151" s="10" t="n">
        <f aca="false"> IF(280.4664567 + 360007.6982779*M151/10 + 0.03032028*M151^2/100 + M151^3/49931000&lt;0,MOD(280.4664567 + 360007.6982779*M151/10 + 0.03032028*M151^2/100 + M151^3/49931000+360,360),MOD(280.4664567 + 360007.6982779*M151/10 + 0.03032028*M151^2/100 + M151^3/49931000,360))</f>
        <v>208.075245963815</v>
      </c>
      <c r="AO151" s="27" t="n">
        <f aca="false"> AN151 + (1.9146 - 0.004817*M151 - 0.000014*M151^2)*SIN(R151)+ (0.019993 - 0.000101*M151)*SIN(2*R151)+ 0.00029*SIN(3*R151)</f>
        <v>206.215113283363</v>
      </c>
      <c r="AP151" s="18" t="n">
        <f aca="false">ACOS(COS(X151-$A$4*AO151)*COS(Y151))/$A$4</f>
        <v>69.2061185166405</v>
      </c>
      <c r="AQ151" s="25" t="n">
        <f aca="false">180 - AP151 -0.1468*(1-0.0549*SIN(R151))*SIN($A$4*AP151)/(1-0.0167*SIN($A$4*AO151))</f>
        <v>110.650415525113</v>
      </c>
      <c r="AR151" s="25" t="n">
        <f aca="false">SIN($A$4*AI151)</f>
        <v>0.928331124620715</v>
      </c>
      <c r="AS151" s="25" t="n">
        <f aca="false">COS($A$4*AI151)*SIN($A$4*$G$2) - TAN($A$4*AG151)*COS($A$4*$G$2)</f>
        <v>-0.202626347197596</v>
      </c>
      <c r="AT151" s="25" t="n">
        <f aca="false">IF(OR(AND(AR151*AS151&gt;0), AND(AR151&lt;0,AS151&gt;0)), MOD(ATAN2(AS151,AR151)/$A$4+360,360),  ATAN2(AS151,AR151)/$A$4)</f>
        <v>102.312809878338</v>
      </c>
      <c r="AU151" s="29" t="n">
        <f aca="false">(1+SIN($A$4*H151)*SIN($A$4*AJ151))*120*ASIN(0.272481*SIN($A$4*AJ151))/$A$4</f>
        <v>29.5586816237651</v>
      </c>
      <c r="AV151" s="10" t="n">
        <f aca="false">COS(X151)</f>
        <v>-0.732550047052977</v>
      </c>
      <c r="AW151" s="10" t="n">
        <f aca="false">SIN(X151)</f>
        <v>0.680713176427988</v>
      </c>
      <c r="AX151" s="30" t="n">
        <f aca="false"> 385000.56 + (-20905355*COS(Q151) - 3699111*COS(2*S151-Q151) - 2955968*COS(2*S151) - 569925*COS(2*Q151) + (1-0.002516*M151)*48888*COS(R151) - 3149*COS(2*T151)  +246158*COS(2*S151-2*Q151) -(1-0.002516*M151)*152138*COS(2*S151-R151-Q151) -170733*COS(2*S151+Q151) -(1-0.002516*M151)*204586*COS(2*S151-R151) -(1-0.002516*M151)*129620*COS(R151-Q151)  + 108743*COS(S151) +(1-0.002516*M151)*104755*COS(R151+Q151) +10321*COS(2*S151-2*T151) +79661*COS(Q151-2*T151) -34782*COS(4*S151-Q151) -23210*COS(3*Q151)  -21636*COS(4*S151-2*Q151) +(1-0.002516*M151)*24208*COS(2*S151+R151-Q151) +(1-0.002516*M151)*30824*COS(2*S151+R151) -8379*COS(S151-Q151) -(1-0.002516*M151)*16675*COS(S151+R151)  -(1-0.002516*M151)*12831*COS(2*S151-R151+Q151) -10445*COS(2*S151+2*Q151) -11650*COS(4*S151) +14403*COS(2*S151-3*Q151) -(1-0.002516*M151)*7003*COS(R151-2*Q151)  + (1-0.002516*M151)*10056*COS(2*S151-R151-2*Q151) +6322*COS(S151+Q151) -(1-0.002516*M151)*(1-0.002516*M151)*9884*COS(2*S151-2*R151) +(1-0.002516*M151)*5751*COS(R151+2*Q151) -(1-0.002516*M151)*(1-0.002516*M151)*4950*COS(2*S151-2*R151-Q151)  +4130*COS(2*S151+Q151-2*T151) -(1-0.002516*M151)*3958*COS(4*S151-R151-Q151) +3258*COS(3*S151-Q151) +(1-0.002516*M151)*2616*COS(2*S151+R151+Q151) -(1-0.002516*M151)*1897*COS(4*S151-R151-2*Q151)  -(1-0.002516*M151)*(1-0.002516*M151)*2117*COS(2*R151-Q151) +(1-0.002516*M151)*(1-0.002516*M151)*2354*COS(2*S151+2*R151-Q151) -1423*COS(4*S151+Q151) -1117*COS(4*Q151) -(1-0.002516*M151)*1571*COS(4*S151-R151)  -1739*COS(S151-2*Q151) -4421*COS(2*Q151-2*T151) +(1-0.002516*M151)*(1-0.002516*M151)*1165*COS(2*R151+Q151) +8752*COS(2*S151-Q151-2*T151))/1000</f>
        <v>401237.629630745</v>
      </c>
      <c r="AY151" s="10" t="n">
        <f aca="false">AY150+1/8</f>
        <v>19.625</v>
      </c>
      <c r="AZ151" s="17" t="n">
        <f aca="false">AZ150+1</f>
        <v>150</v>
      </c>
      <c r="BA151" s="32" t="n">
        <f aca="false">ATAN(0.99664719*TAN($A$4*input!$E$2))</f>
        <v>-0.400219206115995</v>
      </c>
      <c r="BB151" s="32" t="n">
        <f aca="false">COS(BA151)</f>
        <v>0.920975608992155</v>
      </c>
      <c r="BC151" s="32" t="n">
        <f aca="false">0.99664719*SIN(BA151)</f>
        <v>-0.388313912533463</v>
      </c>
      <c r="BD151" s="32" t="n">
        <f aca="false">6378.14/AX151</f>
        <v>0.0158961660845961</v>
      </c>
      <c r="BE151" s="33" t="n">
        <f aca="false">MOD(N151-15*AH151,360)</f>
        <v>111.823855527967</v>
      </c>
      <c r="BF151" s="27" t="n">
        <f aca="false">COS($A$4*AG151)*SIN($A$4*BE151)</f>
        <v>0.86838541323922</v>
      </c>
      <c r="BG151" s="27" t="n">
        <f aca="false">COS($A$4*AG151)*COS($A$4*BE151)-BB151*BD151</f>
        <v>-0.362388836172582</v>
      </c>
      <c r="BH151" s="27" t="n">
        <f aca="false">SIN($A$4*AG151)-BC151*BD151</f>
        <v>0.359694283070329</v>
      </c>
      <c r="BI151" s="46" t="n">
        <f aca="false">SQRT(BF151^2+BG151^2+BH151^2)</f>
        <v>1.00737226077684</v>
      </c>
      <c r="BJ151" s="35" t="n">
        <f aca="false">AX151*BI151</f>
        <v>404195.658069865</v>
      </c>
    </row>
    <row r="152" customFormat="false" ht="15" hidden="false" customHeight="false" outlineLevel="0" collapsed="false">
      <c r="A152" s="20"/>
      <c r="B152" s="20"/>
      <c r="C152" s="15" t="n">
        <f aca="false">MOD(C151+3,24)</f>
        <v>18</v>
      </c>
      <c r="D152" s="17" t="n">
        <v>19</v>
      </c>
      <c r="E152" s="102" t="n">
        <f aca="false">input!$C$2</f>
        <v>10</v>
      </c>
      <c r="F152" s="102" t="n">
        <f aca="false">input!$D$2</f>
        <v>2022</v>
      </c>
      <c r="H152" s="39" t="n">
        <f aca="false">AM152</f>
        <v>-67.3664752315705</v>
      </c>
      <c r="I152" s="48" t="n">
        <f aca="false">H152+1.02/(TAN($A$4*(H152+10.3/(H152+5.11)))*60)</f>
        <v>-67.3735057689385</v>
      </c>
      <c r="J152" s="39" t="n">
        <f aca="false">100*(1+COS($A$4*AQ152))/2</f>
        <v>31.2424431760103</v>
      </c>
      <c r="K152" s="48" t="n">
        <f aca="false">IF(AI152&gt;180,AT152-180,AT152+180)</f>
        <v>267.754140413675</v>
      </c>
      <c r="L152" s="10" t="n">
        <f aca="false">L151+1/8</f>
        <v>2459872.25</v>
      </c>
      <c r="M152" s="49" t="n">
        <f aca="false">(L152-2451545)/36525</f>
        <v>0.227987679671458</v>
      </c>
      <c r="N152" s="15" t="n">
        <f aca="false">MOD(280.46061837+360.98564736629*(L152-2451545)+0.000387933*M152^2-M152^3/38710000+$G$4,360)</f>
        <v>298.192669472192</v>
      </c>
      <c r="O152" s="18" t="n">
        <f aca="false">0.60643382+1336.85522467*M152 - 0.00000313*M152^2 - INT(0.60643382+1336.85522467*M152 - 0.00000313*M152^2)</f>
        <v>0.392954386486565</v>
      </c>
      <c r="P152" s="15" t="n">
        <f aca="false">22640*SIN(Q152)-4586*SIN(Q152-2*S152)+2370*SIN(2*S152)+769*SIN(2*Q152)-668*SIN(R152)-412*SIN(2*T152)-212*SIN(2*Q152-2*S152)-206*SIN(Q152+R152-2*S152)+192*SIN(Q152+2*S152)-165*SIN(R152-2*S152)-125*SIN(S152)-110*SIN(Q152+R152)+148*SIN(Q152-R152)-55*SIN(2*T152-2*S152)</f>
        <v>-10262.1063709134</v>
      </c>
      <c r="Q152" s="18" t="n">
        <f aca="false">2*PI()*(0.374897+1325.55241*M152 - INT(0.374897+1325.55241*M152))</f>
        <v>3.67261756030757</v>
      </c>
      <c r="R152" s="26" t="n">
        <f aca="false">2*PI()*(0.99312619+99.99735956*M152 - 0.00000044*M152^2 - INT(0.99312619+99.99735956*M152- 0.00000044*M152^2))</f>
        <v>4.97183518848991</v>
      </c>
      <c r="S152" s="26" t="n">
        <f aca="false">2*PI()*(0.827361+1236.853086*M152 - INT(0.827361+1236.853086*M152))</f>
        <v>5.11844719238053</v>
      </c>
      <c r="T152" s="26" t="n">
        <f aca="false">2*PI()*(0.259086+1342.227825*M152 - INT(0.259086+1342.227825*M152))</f>
        <v>1.69956023333488</v>
      </c>
      <c r="U152" s="26" t="n">
        <f aca="false">T152+(P152+412*SIN(2*T152)+541*SIN(R152))/206264.8062</f>
        <v>1.64676434901452</v>
      </c>
      <c r="V152" s="26" t="n">
        <f aca="false">T152-2*S152</f>
        <v>-8.53733415142618</v>
      </c>
      <c r="W152" s="25" t="n">
        <f aca="false">-526*SIN(V152)+44*SIN(Q152+V152)-31*SIN(-Q152+V152)-23*SIN(R152+V152)+11*SIN(-R152+V152)-25*SIN(-2*Q152+T152)+21*SIN(-Q152+T152)</f>
        <v>388.000720005447</v>
      </c>
      <c r="X152" s="26" t="n">
        <f aca="false">2*PI()*(O152+P152/1296000-INT(O152+P152/1296000))</f>
        <v>2.41925313190795</v>
      </c>
      <c r="Y152" s="26" t="n">
        <f aca="false">(18520*SIN(U152)+W152)/206264.8062</f>
        <v>0.0914096107983332</v>
      </c>
      <c r="Z152" s="26" t="n">
        <f aca="false">Y152*180/PI()</f>
        <v>5.23738490567797</v>
      </c>
      <c r="AA152" s="26" t="n">
        <f aca="false">COS(Y152)*COS(X152)</f>
        <v>-0.747128725929797</v>
      </c>
      <c r="AB152" s="26" t="n">
        <f aca="false">COS(Y152)*SIN(X152)</f>
        <v>0.658381497841692</v>
      </c>
      <c r="AC152" s="26" t="n">
        <f aca="false">SIN(Y152)</f>
        <v>0.091282365165726</v>
      </c>
      <c r="AD152" s="26" t="n">
        <f aca="false">COS($A$4*(23.4393-46.815*M152/3600))*AB152-SIN($A$4*(23.4393-46.815*M152/3600))*AC152</f>
        <v>0.567761005498957</v>
      </c>
      <c r="AE152" s="26" t="n">
        <f aca="false">SIN($A$4*(23.4393-46.815*M152/3600))*AB152+COS($A$4*(23.4393-46.815*M152/3600))*AC152</f>
        <v>0.345609761906883</v>
      </c>
      <c r="AF152" s="26" t="n">
        <f aca="false">SQRT(1-AE152*AE152)</f>
        <v>0.93837833120478</v>
      </c>
      <c r="AG152" s="10" t="n">
        <f aca="false">ATAN(AE152/AF152)/$A$4</f>
        <v>20.2190223368261</v>
      </c>
      <c r="AH152" s="26" t="n">
        <f aca="false">IF(24*ATAN(AD152/(AA152+AF152))/PI()&gt;0,24*ATAN(AD152/(AA152+AF152))/PI(),24*ATAN(AD152/(AA152+AF152))/PI()+24)</f>
        <v>9.51786189809066</v>
      </c>
      <c r="AI152" s="10" t="n">
        <f aca="false">IF(N152-15*AH152&gt;0,N152-15*AH152,360+N152-15*AH152)</f>
        <v>155.424741000832</v>
      </c>
      <c r="AJ152" s="18" t="n">
        <f aca="false">0.950724+0.051818*COS(Q152)+0.009531*COS(2*S152-Q152)+0.007843*COS(2*S152)+0.002824*COS(2*Q152)+0.000857*COS(2*S152+Q152)+0.000533*COS(2*S152-R152)+0.000401*COS(2*S152-R152-Q152)+0.00032*COS(Q152-R152)-0.000271*COS(S152)</f>
        <v>0.911622037533324</v>
      </c>
      <c r="AK152" s="50" t="n">
        <f aca="false">ASIN(COS($A$4*$G$2)*COS($A$4*AG152)*COS($A$4*AI152)+SIN($A$4*$G$2)*SIN($A$4*AG152))/$A$4</f>
        <v>-67.0106254809793</v>
      </c>
      <c r="AL152" s="18" t="n">
        <f aca="false">ASIN((0.9983271+0.0016764*COS($A$4*2*$G$2))*COS($A$4*AK152)*SIN($A$4*AJ152))/$A$4</f>
        <v>0.35584975059117</v>
      </c>
      <c r="AM152" s="18" t="n">
        <f aca="false">AK152-AL152</f>
        <v>-67.3664752315705</v>
      </c>
      <c r="AN152" s="10" t="n">
        <f aca="false"> IF(280.4664567 + 360007.6982779*M152/10 + 0.03032028*M152^2/100 + M152^3/49931000&lt;0,MOD(280.4664567 + 360007.6982779*M152/10 + 0.03032028*M152^2/100 + M152^3/49931000+360,360),MOD(280.4664567 + 360007.6982779*M152/10 + 0.03032028*M152^2/100 + M152^3/49931000,360))</f>
        <v>208.198451884302</v>
      </c>
      <c r="AO152" s="27" t="n">
        <f aca="false"> AN152 + (1.9146 - 0.004817*M152 - 0.000014*M152^2)*SIN(R152)+ (0.019993 - 0.000101*M152)*SIN(2*R152)+ 0.00029*SIN(3*R152)</f>
        <v>206.339294522366</v>
      </c>
      <c r="AP152" s="18" t="n">
        <f aca="false">ACOS(COS(X152-$A$4*AO152)*COS(Y152))/$A$4</f>
        <v>67.8242439516567</v>
      </c>
      <c r="AQ152" s="25" t="n">
        <f aca="false">180 - AP152 -0.1468*(1-0.0549*SIN(R152))*SIN($A$4*AP152)/(1-0.0167*SIN($A$4*AO152))</f>
        <v>112.033654300104</v>
      </c>
      <c r="AR152" s="25" t="n">
        <f aca="false">SIN($A$4*AI152)</f>
        <v>0.415888134468124</v>
      </c>
      <c r="AS152" s="25" t="n">
        <f aca="false">COS($A$4*AI152)*SIN($A$4*$G$2) - TAN($A$4*AG152)*COS($A$4*$G$2)</f>
        <v>0.0163101893194538</v>
      </c>
      <c r="AT152" s="25" t="n">
        <f aca="false">IF(OR(AND(AR152*AS152&gt;0), AND(AR152&lt;0,AS152&gt;0)), MOD(ATAN2(AS152,AR152)/$A$4+360,360),  ATAN2(AS152,AR152)/$A$4)</f>
        <v>87.7541404136746</v>
      </c>
      <c r="AU152" s="29" t="n">
        <f aca="false">(1+SIN($A$4*H152)*SIN($A$4*AJ152))*120*ASIN(0.272481*SIN($A$4*AJ152))/$A$4</f>
        <v>29.3690904143769</v>
      </c>
      <c r="AV152" s="10" t="n">
        <f aca="false">COS(X152)</f>
        <v>-0.750261028359983</v>
      </c>
      <c r="AW152" s="10" t="n">
        <f aca="false">SIN(X152)</f>
        <v>0.661141731646265</v>
      </c>
      <c r="AX152" s="30" t="n">
        <f aca="false"> 385000.56 + (-20905355*COS(Q152) - 3699111*COS(2*S152-Q152) - 2955968*COS(2*S152) - 569925*COS(2*Q152) + (1-0.002516*M152)*48888*COS(R152) - 3149*COS(2*T152)  +246158*COS(2*S152-2*Q152) -(1-0.002516*M152)*152138*COS(2*S152-R152-Q152) -170733*COS(2*S152+Q152) -(1-0.002516*M152)*204586*COS(2*S152-R152) -(1-0.002516*M152)*129620*COS(R152-Q152)  + 108743*COS(S152) +(1-0.002516*M152)*104755*COS(R152+Q152) +10321*COS(2*S152-2*T152) +79661*COS(Q152-2*T152) -34782*COS(4*S152-Q152) -23210*COS(3*Q152)  -21636*COS(4*S152-2*Q152) +(1-0.002516*M152)*24208*COS(2*S152+R152-Q152) +(1-0.002516*M152)*30824*COS(2*S152+R152) -8379*COS(S152-Q152) -(1-0.002516*M152)*16675*COS(S152+R152)  -(1-0.002516*M152)*12831*COS(2*S152-R152+Q152) -10445*COS(2*S152+2*Q152) -11650*COS(4*S152) +14403*COS(2*S152-3*Q152) -(1-0.002516*M152)*7003*COS(R152-2*Q152)  + (1-0.002516*M152)*10056*COS(2*S152-R152-2*Q152) +6322*COS(S152+Q152) -(1-0.002516*M152)*(1-0.002516*M152)*9884*COS(2*S152-2*R152) +(1-0.002516*M152)*5751*COS(R152+2*Q152) -(1-0.002516*M152)*(1-0.002516*M152)*4950*COS(2*S152-2*R152-Q152)  +4130*COS(2*S152+Q152-2*T152) -(1-0.002516*M152)*3958*COS(4*S152-R152-Q152) +3258*COS(3*S152-Q152) +(1-0.002516*M152)*2616*COS(2*S152+R152+Q152) -(1-0.002516*M152)*1897*COS(4*S152-R152-2*Q152)  -(1-0.002516*M152)*(1-0.002516*M152)*2117*COS(2*R152-Q152) +(1-0.002516*M152)*(1-0.002516*M152)*2354*COS(2*S152+2*R152-Q152) -1423*COS(4*S152+Q152) -1117*COS(4*Q152) -(1-0.002516*M152)*1571*COS(4*S152-R152)  -1739*COS(S152-2*Q152) -4421*COS(2*Q152-2*T152) +(1-0.002516*M152)*(1-0.002516*M152)*1165*COS(2*R152+Q152) +8752*COS(2*S152-Q152-2*T152))/1000</f>
        <v>400886.423812514</v>
      </c>
      <c r="AY152" s="10" t="n">
        <f aca="false">AY151+1/8</f>
        <v>19.75</v>
      </c>
      <c r="AZ152" s="17" t="n">
        <f aca="false">AZ151+1</f>
        <v>151</v>
      </c>
      <c r="BA152" s="32" t="n">
        <f aca="false">ATAN(0.99664719*TAN($A$4*input!$E$2))</f>
        <v>-0.400219206115995</v>
      </c>
      <c r="BB152" s="32" t="n">
        <f aca="false">COS(BA152)</f>
        <v>0.920975608992155</v>
      </c>
      <c r="BC152" s="32" t="n">
        <f aca="false">0.99664719*SIN(BA152)</f>
        <v>-0.388313912533463</v>
      </c>
      <c r="BD152" s="32" t="n">
        <f aca="false">6378.14/AX152</f>
        <v>0.0159100922883408</v>
      </c>
      <c r="BE152" s="33" t="n">
        <f aca="false">MOD(N152-15*AH152,360)</f>
        <v>155.424741000832</v>
      </c>
      <c r="BF152" s="27" t="n">
        <f aca="false">COS($A$4*AG152)*SIN($A$4*BE152)</f>
        <v>0.390260413590068</v>
      </c>
      <c r="BG152" s="27" t="n">
        <f aca="false">COS($A$4*AG152)*COS($A$4*BE152)-BB152*BD152</f>
        <v>-0.868028868269106</v>
      </c>
      <c r="BH152" s="27" t="n">
        <f aca="false">SIN($A$4*AG152)-BC152*BD152</f>
        <v>0.351787872092137</v>
      </c>
      <c r="BI152" s="46" t="n">
        <f aca="false">SQRT(BF152^2+BG152^2+BH152^2)</f>
        <v>1.0146585699215</v>
      </c>
      <c r="BJ152" s="35" t="n">
        <f aca="false">AX152*BI152</f>
        <v>406762.845486551</v>
      </c>
    </row>
    <row r="153" customFormat="false" ht="15" hidden="false" customHeight="false" outlineLevel="0" collapsed="false">
      <c r="A153" s="20"/>
      <c r="B153" s="20"/>
      <c r="C153" s="15" t="n">
        <f aca="false">MOD(C152+3,24)</f>
        <v>21</v>
      </c>
      <c r="D153" s="17" t="n">
        <v>19</v>
      </c>
      <c r="E153" s="102" t="n">
        <f aca="false">input!$C$2</f>
        <v>10</v>
      </c>
      <c r="F153" s="102" t="n">
        <f aca="false">input!$D$2</f>
        <v>2022</v>
      </c>
      <c r="H153" s="39" t="n">
        <f aca="false">AM153</f>
        <v>-72.2705126830111</v>
      </c>
      <c r="I153" s="48" t="n">
        <f aca="false">H153+1.02/(TAN($A$4*(H153+10.3/(H153+5.11)))*60)</f>
        <v>-72.2758976044832</v>
      </c>
      <c r="J153" s="39" t="n">
        <f aca="false">100*(1+COS($A$4*AQ153))/2</f>
        <v>30.1267560033868</v>
      </c>
      <c r="K153" s="48" t="n">
        <f aca="false">IF(AI153&gt;180,AT153-180,AT153+180)</f>
        <v>96.8889106009825</v>
      </c>
      <c r="L153" s="10" t="n">
        <f aca="false">L152+1/8</f>
        <v>2459872.375</v>
      </c>
      <c r="M153" s="49" t="n">
        <f aca="false">(L153-2451545)/36525</f>
        <v>0.227991101984942</v>
      </c>
      <c r="N153" s="15" t="n">
        <f aca="false">MOD(280.46061837+360.98564736629*(L153-2451545)+0.000387933*M153^2-M153^3/38710000+$G$4,360)</f>
        <v>343.315875393339</v>
      </c>
      <c r="O153" s="18" t="n">
        <f aca="false">0.60643382+1336.85522467*M153 - 0.00000313*M153^2 - INT(0.60643382+1336.85522467*M153 - 0.00000313*M153^2)</f>
        <v>0.397529524143067</v>
      </c>
      <c r="P153" s="15" t="n">
        <f aca="false">22640*SIN(Q153)-4586*SIN(Q153-2*S153)+2370*SIN(2*S153)+769*SIN(2*Q153)-668*SIN(R153)-412*SIN(2*T153)-212*SIN(2*Q153-2*S153)-206*SIN(Q153+R153-2*S153)+192*SIN(Q153+2*S153)-165*SIN(R153-2*S153)-125*SIN(S153)-110*SIN(Q153+R153)+148*SIN(Q153-R153)-55*SIN(2*T153-2*S153)</f>
        <v>-10736.8998000097</v>
      </c>
      <c r="Q153" s="18" t="n">
        <f aca="false">2*PI()*(0.374897+1325.55241*M153 - INT(0.374897+1325.55241*M153))</f>
        <v>3.70112095327937</v>
      </c>
      <c r="R153" s="26" t="n">
        <f aca="false">2*PI()*(0.99312619+99.99735956*M153 - 0.00000044*M153^2 - INT(0.99312619+99.99735956*M153- 0.00000044*M153^2))</f>
        <v>4.97398543468802</v>
      </c>
      <c r="S153" s="26" t="n">
        <f aca="false">2*PI()*(0.827361+1236.853086*M153 - INT(0.827361+1236.853086*M153))</f>
        <v>5.14504328114545</v>
      </c>
      <c r="T153" s="26" t="n">
        <f aca="false">2*PI()*(0.259086+1342.227825*M153 - INT(0.259086+1342.227825*M153))</f>
        <v>1.72842219825264</v>
      </c>
      <c r="U153" s="26" t="n">
        <f aca="false">T153+(P153+412*SIN(2*T153)+541*SIN(R153))/206264.8062</f>
        <v>1.67321531500917</v>
      </c>
      <c r="V153" s="26" t="n">
        <f aca="false">T153-2*S153</f>
        <v>-8.56166436403826</v>
      </c>
      <c r="W153" s="25" t="n">
        <f aca="false">-526*SIN(V153)+44*SIN(Q153+V153)-31*SIN(-Q153+V153)-23*SIN(R153+V153)+11*SIN(-R153+V153)-25*SIN(-2*Q153+T153)+21*SIN(-Q153+T153)</f>
        <v>381.314818867324</v>
      </c>
      <c r="X153" s="26" t="n">
        <f aca="false">2*PI()*(O153+P153/1296000-INT(O153+P153/1296000))</f>
        <v>2.44569770610834</v>
      </c>
      <c r="Y153" s="26" t="n">
        <f aca="false">(18520*SIN(U153)+W153)/206264.8062</f>
        <v>0.091165652023295</v>
      </c>
      <c r="Z153" s="26" t="n">
        <f aca="false">Y153*180/PI()</f>
        <v>5.2234070974931</v>
      </c>
      <c r="AA153" s="26" t="n">
        <f aca="false">COS(Y153)*COS(X153)</f>
        <v>-0.764293159370532</v>
      </c>
      <c r="AB153" s="26" t="n">
        <f aca="false">COS(Y153)*SIN(X153)</f>
        <v>0.638410361872576</v>
      </c>
      <c r="AC153" s="26" t="n">
        <f aca="false">SIN(Y153)</f>
        <v>0.0910394221924589</v>
      </c>
      <c r="AD153" s="26" t="n">
        <f aca="false">COS($A$4*(23.4393-46.815*M153/3600))*AB153-SIN($A$4*(23.4393-46.815*M153/3600))*AC153</f>
        <v>0.549534062604478</v>
      </c>
      <c r="AE153" s="26" t="n">
        <f aca="false">SIN($A$4*(23.4393-46.815*M153/3600))*AB153+COS($A$4*(23.4393-46.815*M153/3600))*AC153</f>
        <v>0.337443744314261</v>
      </c>
      <c r="AF153" s="26" t="n">
        <f aca="false">SQRT(1-AE153*AE153)</f>
        <v>0.94134569602414</v>
      </c>
      <c r="AG153" s="10" t="n">
        <f aca="false">ATAN(AE153/AF153)/$A$4</f>
        <v>19.7212094734721</v>
      </c>
      <c r="AH153" s="26" t="n">
        <f aca="false">IF(24*ATAN(AD153/(AA153+AF153))/PI()&gt;0,24*ATAN(AD153/(AA153+AF153))/PI(),24*ATAN(AD153/(AA153+AF153))/PI()+24)</f>
        <v>9.61890034263044</v>
      </c>
      <c r="AI153" s="10" t="n">
        <f aca="false">IF(N153-15*AH153&gt;0,N153-15*AH153,360+N153-15*AH153)</f>
        <v>199.032370253882</v>
      </c>
      <c r="AJ153" s="18" t="n">
        <f aca="false">0.950724+0.051818*COS(Q153)+0.009531*COS(2*S153-Q153)+0.007843*COS(2*S153)+0.002824*COS(2*Q153)+0.000857*COS(2*S153+Q153)+0.000533*COS(2*S153-R153)+0.000401*COS(2*S153-R153-Q153)+0.00032*COS(Q153-R153)-0.000271*COS(S153)</f>
        <v>0.912433983400411</v>
      </c>
      <c r="AK153" s="50" t="n">
        <f aca="false">ASIN(COS($A$4*$G$2)*COS($A$4*AG153)*COS($A$4*AI153)+SIN($A$4*$G$2)*SIN($A$4*AG153))/$A$4</f>
        <v>-71.988535656597</v>
      </c>
      <c r="AL153" s="18" t="n">
        <f aca="false">ASIN((0.9983271+0.0016764*COS($A$4*2*$G$2))*COS($A$4*AK153)*SIN($A$4*AJ153))/$A$4</f>
        <v>0.281977026414144</v>
      </c>
      <c r="AM153" s="18" t="n">
        <f aca="false">AK153-AL153</f>
        <v>-72.2705126830111</v>
      </c>
      <c r="AN153" s="10" t="n">
        <f aca="false"> IF(280.4664567 + 360007.6982779*M153/10 + 0.03032028*M153^2/100 + M153^3/49931000&lt;0,MOD(280.4664567 + 360007.6982779*M153/10 + 0.03032028*M153^2/100 + M153^3/49931000+360,360),MOD(280.4664567 + 360007.6982779*M153/10 + 0.03032028*M153^2/100 + M153^3/49931000,360))</f>
        <v>208.321657804787</v>
      </c>
      <c r="AO153" s="27" t="n">
        <f aca="false"> AN153 + (1.9146 - 0.004817*M153 - 0.000014*M153^2)*SIN(R153)+ (0.019993 - 0.000101*M153)*SIN(2*R153)+ 0.00029*SIN(3*R153)</f>
        <v>206.463484487</v>
      </c>
      <c r="AP153" s="18" t="n">
        <f aca="false">ACOS(COS(X153-$A$4*AO153)*COS(Y153))/$A$4</f>
        <v>66.4395567402158</v>
      </c>
      <c r="AQ153" s="25" t="n">
        <f aca="false">180 - AP153 -0.1468*(1-0.0549*SIN(R153))*SIN($A$4*AP153)/(1-0.0167*SIN($A$4*AO153))</f>
        <v>113.419791245141</v>
      </c>
      <c r="AR153" s="25" t="n">
        <f aca="false">SIN($A$4*AI153)</f>
        <v>-0.326102289745234</v>
      </c>
      <c r="AS153" s="25" t="n">
        <f aca="false">COS($A$4*AI153)*SIN($A$4*$G$2) - TAN($A$4*AG153)*COS($A$4*$G$2)</f>
        <v>0.0393986744149189</v>
      </c>
      <c r="AT153" s="25" t="n">
        <f aca="false">IF(OR(AND(AR153*AS153&gt;0), AND(AR153&lt;0,AS153&gt;0)), MOD(ATAN2(AS153,AR153)/$A$4+360,360),  ATAN2(AS153,AR153)/$A$4)</f>
        <v>276.888910600983</v>
      </c>
      <c r="AU153" s="29" t="n">
        <f aca="false">(1+SIN($A$4*H153)*SIN($A$4*AJ153))*120*ASIN(0.272481*SIN($A$4*AJ153))/$A$4</f>
        <v>29.380832027608</v>
      </c>
      <c r="AV153" s="10" t="n">
        <f aca="false">COS(X153)</f>
        <v>-0.767480282953319</v>
      </c>
      <c r="AW153" s="10" t="n">
        <f aca="false">SIN(X153)</f>
        <v>0.641072550713172</v>
      </c>
      <c r="AX153" s="30" t="n">
        <f aca="false"> 385000.56 + (-20905355*COS(Q153) - 3699111*COS(2*S153-Q153) - 2955968*COS(2*S153) - 569925*COS(2*Q153) + (1-0.002516*M153)*48888*COS(R153) - 3149*COS(2*T153)  +246158*COS(2*S153-2*Q153) -(1-0.002516*M153)*152138*COS(2*S153-R153-Q153) -170733*COS(2*S153+Q153) -(1-0.002516*M153)*204586*COS(2*S153-R153) -(1-0.002516*M153)*129620*COS(R153-Q153)  + 108743*COS(S153) +(1-0.002516*M153)*104755*COS(R153+Q153) +10321*COS(2*S153-2*T153) +79661*COS(Q153-2*T153) -34782*COS(4*S153-Q153) -23210*COS(3*Q153)  -21636*COS(4*S153-2*Q153) +(1-0.002516*M153)*24208*COS(2*S153+R153-Q153) +(1-0.002516*M153)*30824*COS(2*S153+R153) -8379*COS(S153-Q153) -(1-0.002516*M153)*16675*COS(S153+R153)  -(1-0.002516*M153)*12831*COS(2*S153-R153+Q153) -10445*COS(2*S153+2*Q153) -11650*COS(4*S153) +14403*COS(2*S153-3*Q153) -(1-0.002516*M153)*7003*COS(R153-2*Q153)  + (1-0.002516*M153)*10056*COS(2*S153-R153-2*Q153) +6322*COS(S153+Q153) -(1-0.002516*M153)*(1-0.002516*M153)*9884*COS(2*S153-2*R153) +(1-0.002516*M153)*5751*COS(R153+2*Q153) -(1-0.002516*M153)*(1-0.002516*M153)*4950*COS(2*S153-2*R153-Q153)  +4130*COS(2*S153+Q153-2*T153) -(1-0.002516*M153)*3958*COS(4*S153-R153-Q153) +3258*COS(3*S153-Q153) +(1-0.002516*M153)*2616*COS(2*S153+R153+Q153) -(1-0.002516*M153)*1897*COS(4*S153-R153-2*Q153)  -(1-0.002516*M153)*(1-0.002516*M153)*2117*COS(2*R153-Q153) +(1-0.002516*M153)*(1-0.002516*M153)*2354*COS(2*S153+2*R153-Q153) -1423*COS(4*S153+Q153) -1117*COS(4*Q153) -(1-0.002516*M153)*1571*COS(4*S153-R153)  -1739*COS(S153-2*Q153) -4421*COS(2*Q153-2*T153) +(1-0.002516*M153)*(1-0.002516*M153)*1165*COS(2*R153+Q153) +8752*COS(2*S153-Q153-2*T153))/1000</f>
        <v>400518.373168007</v>
      </c>
      <c r="AY153" s="10" t="n">
        <f aca="false">AY152+1/8</f>
        <v>19.875</v>
      </c>
      <c r="AZ153" s="17" t="n">
        <f aca="false">AZ152+1</f>
        <v>152</v>
      </c>
      <c r="BA153" s="32" t="n">
        <f aca="false">ATAN(0.99664719*TAN($A$4*input!$E$2))</f>
        <v>-0.400219206115995</v>
      </c>
      <c r="BB153" s="32" t="n">
        <f aca="false">COS(BA153)</f>
        <v>0.920975608992155</v>
      </c>
      <c r="BC153" s="32" t="n">
        <f aca="false">0.99664719*SIN(BA153)</f>
        <v>-0.388313912533463</v>
      </c>
      <c r="BD153" s="32" t="n">
        <f aca="false">6378.14/AX153</f>
        <v>0.0159247126406472</v>
      </c>
      <c r="BE153" s="33" t="n">
        <f aca="false">MOD(N153-15*AH153,360)</f>
        <v>199.032370253882</v>
      </c>
      <c r="BF153" s="27" t="n">
        <f aca="false">COS($A$4*AG153)*SIN($A$4*BE153)</f>
        <v>-0.306974986915293</v>
      </c>
      <c r="BG153" s="27" t="n">
        <f aca="false">COS($A$4*AG153)*COS($A$4*BE153)-BB153*BD153</f>
        <v>-0.904552824709469</v>
      </c>
      <c r="BH153" s="27" t="n">
        <f aca="false">SIN($A$4*AG153)-BC153*BD153</f>
        <v>0.343627531785722</v>
      </c>
      <c r="BI153" s="46" t="n">
        <f aca="false">SQRT(BF153^2+BG153^2+BH153^2)</f>
        <v>1.01514990808386</v>
      </c>
      <c r="BJ153" s="35" t="n">
        <f aca="false">AX153*BI153</f>
        <v>406586.1897074</v>
      </c>
    </row>
    <row r="154" customFormat="false" ht="15" hidden="false" customHeight="false" outlineLevel="0" collapsed="false">
      <c r="A154" s="20"/>
      <c r="B154" s="20"/>
      <c r="C154" s="15" t="n">
        <f aca="false">MOD(C153+3,24)</f>
        <v>0</v>
      </c>
      <c r="D154" s="36" t="n">
        <v>20</v>
      </c>
      <c r="E154" s="102" t="n">
        <f aca="false">input!$C$2</f>
        <v>10</v>
      </c>
      <c r="F154" s="102" t="n">
        <f aca="false">input!$D$2</f>
        <v>2022</v>
      </c>
      <c r="H154" s="39" t="n">
        <f aca="false">AM154</f>
        <v>-32.6431394647228</v>
      </c>
      <c r="I154" s="48" t="n">
        <f aca="false">H154+1.02/(TAN($A$4*(H154+10.3/(H154+5.11)))*60)</f>
        <v>-32.6692999386629</v>
      </c>
      <c r="J154" s="39" t="n">
        <f aca="false">100*(1+COS($A$4*AQ154))/2</f>
        <v>29.0202931677991</v>
      </c>
      <c r="K154" s="48" t="n">
        <f aca="false">IF(AI154&gt;180,AT154-180,AT154+180)</f>
        <v>80.9671914061661</v>
      </c>
      <c r="L154" s="10" t="n">
        <f aca="false">L153+1/8</f>
        <v>2459872.5</v>
      </c>
      <c r="M154" s="49" t="n">
        <f aca="false">(L154-2451545)/36525</f>
        <v>0.227994524298426</v>
      </c>
      <c r="N154" s="15" t="n">
        <f aca="false">MOD(280.46061837+360.98564736629*(L154-2451545)+0.000387933*M154^2-M154^3/38710000+$G$4,360)</f>
        <v>28.4390813149512</v>
      </c>
      <c r="O154" s="18" t="n">
        <f aca="false">0.60643382+1336.85522467*M154 - 0.00000313*M154^2 - INT(0.60643382+1336.85522467*M154 - 0.00000313*M154^2)</f>
        <v>0.402104661799626</v>
      </c>
      <c r="P154" s="15" t="n">
        <f aca="false">22640*SIN(Q154)-4586*SIN(Q154-2*S154)+2370*SIN(2*S154)+769*SIN(2*Q154)-668*SIN(R154)-412*SIN(2*T154)-212*SIN(2*Q154-2*S154)-206*SIN(Q154+R154-2*S154)+192*SIN(Q154+2*S154)-165*SIN(R154-2*S154)-125*SIN(S154)-110*SIN(Q154+R154)+148*SIN(Q154-R154)-55*SIN(2*T154-2*S154)</f>
        <v>-11201.2754881201</v>
      </c>
      <c r="Q154" s="18" t="n">
        <f aca="false">2*PI()*(0.374897+1325.55241*M154 - INT(0.374897+1325.55241*M154))</f>
        <v>3.72962434625117</v>
      </c>
      <c r="R154" s="26" t="n">
        <f aca="false">2*PI()*(0.99312619+99.99735956*M154 - 0.00000044*M154^2 - INT(0.99312619+99.99735956*M154- 0.00000044*M154^2))</f>
        <v>4.9761356808861</v>
      </c>
      <c r="S154" s="26" t="n">
        <f aca="false">2*PI()*(0.827361+1236.853086*M154 - INT(0.827361+1236.853086*M154))</f>
        <v>5.17163936991037</v>
      </c>
      <c r="T154" s="26" t="n">
        <f aca="false">2*PI()*(0.259086+1342.227825*M154 - INT(0.259086+1342.227825*M154))</f>
        <v>1.75728416317004</v>
      </c>
      <c r="U154" s="26" t="n">
        <f aca="false">T154+(P154+412*SIN(2*T154)+541*SIN(R154))/206264.8062</f>
        <v>1.69971886236997</v>
      </c>
      <c r="V154" s="26" t="n">
        <f aca="false">T154-2*S154</f>
        <v>-8.58599457665071</v>
      </c>
      <c r="W154" s="25" t="n">
        <f aca="false">-526*SIN(V154)+44*SIN(Q154+V154)-31*SIN(-Q154+V154)-23*SIN(R154+V154)+11*SIN(-R154+V154)-25*SIN(-2*Q154+T154)+21*SIN(-Q154+T154)</f>
        <v>374.440009433289</v>
      </c>
      <c r="X154" s="26" t="n">
        <f aca="false">2*PI()*(O154+P154/1296000-INT(O154+P154/1296000))</f>
        <v>2.47219278694265</v>
      </c>
      <c r="Y154" s="26" t="n">
        <f aca="false">(18520*SIN(U154)+W154)/206264.8062</f>
        <v>0.090857683232981</v>
      </c>
      <c r="Z154" s="26" t="n">
        <f aca="false">Y154*180/PI()</f>
        <v>5.20576178558636</v>
      </c>
      <c r="AA154" s="26" t="n">
        <f aca="false">COS(Y154)*COS(X154)</f>
        <v>-0.780959617123405</v>
      </c>
      <c r="AB154" s="26" t="n">
        <f aca="false">COS(Y154)*SIN(X154)</f>
        <v>0.617956024724296</v>
      </c>
      <c r="AC154" s="26" t="n">
        <f aca="false">SIN(Y154)</f>
        <v>0.0907327279949768</v>
      </c>
      <c r="AD154" s="26" t="n">
        <f aca="false">COS($A$4*(23.4393-46.815*M154/3600))*AB154-SIN($A$4*(23.4393-46.815*M154/3600))*AC154</f>
        <v>0.530889137130372</v>
      </c>
      <c r="AE154" s="26" t="n">
        <f aca="false">SIN($A$4*(23.4393-46.815*M154/3600))*AB154+COS($A$4*(23.4393-46.815*M154/3600))*AC154</f>
        <v>0.329027051318632</v>
      </c>
      <c r="AF154" s="26" t="n">
        <f aca="false">SQRT(1-AE154*AE154)</f>
        <v>0.944320496177313</v>
      </c>
      <c r="AG154" s="10" t="n">
        <f aca="false">ATAN(AE154/AF154)/$A$4</f>
        <v>19.2097321127521</v>
      </c>
      <c r="AH154" s="26" t="n">
        <f aca="false">IF(24*ATAN(AD154/(AA154+AF154))/PI()&gt;0,24*ATAN(AD154/(AA154+AF154))/PI(),24*ATAN(AD154/(AA154+AF154))/PI()+24)</f>
        <v>9.71949975086596</v>
      </c>
      <c r="AI154" s="10" t="n">
        <f aca="false">IF(N154-15*AH154&gt;0,N154-15*AH154,360+N154-15*AH154)</f>
        <v>242.646585051962</v>
      </c>
      <c r="AJ154" s="18" t="n">
        <f aca="false">0.950724+0.051818*COS(Q154)+0.009531*COS(2*S154-Q154)+0.007843*COS(2*S154)+0.002824*COS(2*Q154)+0.000857*COS(2*S154+Q154)+0.000533*COS(2*S154-R154)+0.000401*COS(2*S154-R154-Q154)+0.00032*COS(Q154-R154)-0.000271*COS(S154)</f>
        <v>0.913284851265433</v>
      </c>
      <c r="AK154" s="50" t="n">
        <f aca="false">ASIN(COS($A$4*$G$2)*COS($A$4*AG154)*COS($A$4*AI154)+SIN($A$4*$G$2)*SIN($A$4*AG154))/$A$4</f>
        <v>-31.8679198694659</v>
      </c>
      <c r="AL154" s="18" t="n">
        <f aca="false">ASIN((0.9983271+0.0016764*COS($A$4*2*$G$2))*COS($A$4*AK154)*SIN($A$4*AJ154))/$A$4</f>
        <v>0.775219595256882</v>
      </c>
      <c r="AM154" s="18" t="n">
        <f aca="false">AK154-AL154</f>
        <v>-32.6431394647228</v>
      </c>
      <c r="AN154" s="10" t="n">
        <f aca="false"> IF(280.4664567 + 360007.6982779*M154/10 + 0.03032028*M154^2/100 + M154^3/49931000&lt;0,MOD(280.4664567 + 360007.6982779*M154/10 + 0.03032028*M154^2/100 + M154^3/49931000+360,360),MOD(280.4664567 + 360007.6982779*M154/10 + 0.03032028*M154^2/100 + M154^3/49931000,360))</f>
        <v>208.444863725274</v>
      </c>
      <c r="AO154" s="27" t="n">
        <f aca="false"> AN154 + (1.9146 - 0.004817*M154 - 0.000014*M154^2)*SIN(R154)+ (0.019993 - 0.000101*M154)*SIN(2*R154)+ 0.00029*SIN(3*R154)</f>
        <v>206.587683173803</v>
      </c>
      <c r="AP154" s="18" t="n">
        <f aca="false">ACOS(COS(X154-$A$4*AO154)*COS(Y154))/$A$4</f>
        <v>65.0519167511172</v>
      </c>
      <c r="AQ154" s="25" t="n">
        <f aca="false">180 - AP154 -0.1468*(1-0.0549*SIN(R154))*SIN($A$4*AP154)/(1-0.0167*SIN($A$4*AO154))</f>
        <v>114.808966294605</v>
      </c>
      <c r="AR154" s="25" t="n">
        <f aca="false">SIN($A$4*AI154)</f>
        <v>-0.888189262846265</v>
      </c>
      <c r="AS154" s="25" t="n">
        <f aca="false">COS($A$4*AI154)*SIN($A$4*$G$2) - TAN($A$4*AG154)*COS($A$4*$G$2)</f>
        <v>-0.141196758169057</v>
      </c>
      <c r="AT154" s="25" t="n">
        <f aca="false">IF(OR(AND(AR154*AS154&gt;0), AND(AR154&lt;0,AS154&gt;0)), MOD(ATAN2(AS154,AR154)/$A$4+360,360),  ATAN2(AS154,AR154)/$A$4)</f>
        <v>260.967191406166</v>
      </c>
      <c r="AU154" s="29" t="n">
        <f aca="false">(1+SIN($A$4*H154)*SIN($A$4*AJ154))*120*ASIN(0.272481*SIN($A$4*AJ154))/$A$4</f>
        <v>29.6044256347945</v>
      </c>
      <c r="AV154" s="10" t="n">
        <f aca="false">COS(X154)</f>
        <v>-0.784194199110341</v>
      </c>
      <c r="AW154" s="10" t="n">
        <f aca="false">SIN(X154)</f>
        <v>0.620515477713241</v>
      </c>
      <c r="AX154" s="30" t="n">
        <f aca="false"> 385000.56 + (-20905355*COS(Q154) - 3699111*COS(2*S154-Q154) - 2955968*COS(2*S154) - 569925*COS(2*Q154) + (1-0.002516*M154)*48888*COS(R154) - 3149*COS(2*T154)  +246158*COS(2*S154-2*Q154) -(1-0.002516*M154)*152138*COS(2*S154-R154-Q154) -170733*COS(2*S154+Q154) -(1-0.002516*M154)*204586*COS(2*S154-R154) -(1-0.002516*M154)*129620*COS(R154-Q154)  + 108743*COS(S154) +(1-0.002516*M154)*104755*COS(R154+Q154) +10321*COS(2*S154-2*T154) +79661*COS(Q154-2*T154) -34782*COS(4*S154-Q154) -23210*COS(3*Q154)  -21636*COS(4*S154-2*Q154) +(1-0.002516*M154)*24208*COS(2*S154+R154-Q154) +(1-0.002516*M154)*30824*COS(2*S154+R154) -8379*COS(S154-Q154) -(1-0.002516*M154)*16675*COS(S154+R154)  -(1-0.002516*M154)*12831*COS(2*S154-R154+Q154) -10445*COS(2*S154+2*Q154) -11650*COS(4*S154) +14403*COS(2*S154-3*Q154) -(1-0.002516*M154)*7003*COS(R154-2*Q154)  + (1-0.002516*M154)*10056*COS(2*S154-R154-2*Q154) +6322*COS(S154+Q154) -(1-0.002516*M154)*(1-0.002516*M154)*9884*COS(2*S154-2*R154) +(1-0.002516*M154)*5751*COS(R154+2*Q154) -(1-0.002516*M154)*(1-0.002516*M154)*4950*COS(2*S154-2*R154-Q154)  +4130*COS(2*S154+Q154-2*T154) -(1-0.002516*M154)*3958*COS(4*S154-R154-Q154) +3258*COS(3*S154-Q154) +(1-0.002516*M154)*2616*COS(2*S154+R154+Q154) -(1-0.002516*M154)*1897*COS(4*S154-R154-2*Q154)  -(1-0.002516*M154)*(1-0.002516*M154)*2117*COS(2*R154-Q154) +(1-0.002516*M154)*(1-0.002516*M154)*2354*COS(2*S154+2*R154-Q154) -1423*COS(4*S154+Q154) -1117*COS(4*Q154) -(1-0.002516*M154)*1571*COS(4*S154-R154)  -1739*COS(S154-2*Q154) -4421*COS(2*Q154-2*T154) +(1-0.002516*M154)*(1-0.002516*M154)*1165*COS(2*R154+Q154) +8752*COS(2*S154-Q154-2*T154))/1000</f>
        <v>400133.909369137</v>
      </c>
      <c r="AY154" s="10" t="n">
        <f aca="false">AY153+1/8</f>
        <v>20</v>
      </c>
      <c r="AZ154" s="17" t="n">
        <f aca="false">AZ153+1</f>
        <v>153</v>
      </c>
      <c r="BA154" s="32" t="n">
        <f aca="false">ATAN(0.99664719*TAN($A$4*input!$E$2))</f>
        <v>-0.400219206115995</v>
      </c>
      <c r="BB154" s="32" t="n">
        <f aca="false">COS(BA154)</f>
        <v>0.920975608992155</v>
      </c>
      <c r="BC154" s="32" t="n">
        <f aca="false">0.99664719*SIN(BA154)</f>
        <v>-0.388313912533463</v>
      </c>
      <c r="BD154" s="32" t="n">
        <f aca="false">6378.14/AX154</f>
        <v>0.0159400137070511</v>
      </c>
      <c r="BE154" s="33" t="n">
        <f aca="false">MOD(N154-15*AH154,360)</f>
        <v>242.646585051962</v>
      </c>
      <c r="BF154" s="27" t="n">
        <f aca="false">COS($A$4*AG154)*SIN($A$4*BE154)</f>
        <v>-0.838735325390347</v>
      </c>
      <c r="BG154" s="27" t="n">
        <f aca="false">COS($A$4*AG154)*COS($A$4*BE154)-BB154*BD154</f>
        <v>-0.448574652158335</v>
      </c>
      <c r="BH154" s="27" t="n">
        <f aca="false">SIN($A$4*AG154)-BC154*BD154</f>
        <v>0.335216780407054</v>
      </c>
      <c r="BI154" s="46" t="n">
        <f aca="false">SQRT(BF154^2+BG154^2+BH154^2)</f>
        <v>1.0084971266608</v>
      </c>
      <c r="BJ154" s="35" t="n">
        <f aca="false">AX154*BI154</f>
        <v>403533.897878328</v>
      </c>
    </row>
    <row r="155" customFormat="false" ht="15" hidden="false" customHeight="false" outlineLevel="0" collapsed="false">
      <c r="A155" s="20"/>
      <c r="B155" s="20"/>
      <c r="C155" s="15" t="n">
        <f aca="false">MOD(C154+3,24)</f>
        <v>3</v>
      </c>
      <c r="D155" s="17" t="n">
        <v>20</v>
      </c>
      <c r="E155" s="102" t="n">
        <f aca="false">input!$C$2</f>
        <v>10</v>
      </c>
      <c r="F155" s="102" t="n">
        <f aca="false">input!$D$2</f>
        <v>2022</v>
      </c>
      <c r="H155" s="39" t="n">
        <f aca="false">AM155</f>
        <v>5.93199812098383</v>
      </c>
      <c r="I155" s="48" t="n">
        <f aca="false">H155+1.02/(TAN($A$4*(H155+10.3/(H155+5.11)))*60)</f>
        <v>6.07320586738442</v>
      </c>
      <c r="J155" s="39" t="n">
        <f aca="false">100*(1+COS($A$4*AQ155))/2</f>
        <v>27.9236755242259</v>
      </c>
      <c r="K155" s="48" t="n">
        <f aca="false">IF(AI155&gt;180,AT155-180,AT155+180)</f>
        <v>66.3321160154539</v>
      </c>
      <c r="L155" s="10" t="n">
        <f aca="false">L154+1/8</f>
        <v>2459872.625</v>
      </c>
      <c r="M155" s="49" t="n">
        <f aca="false">(L155-2451545)/36525</f>
        <v>0.22799794661191</v>
      </c>
      <c r="N155" s="15" t="n">
        <f aca="false">MOD(280.46061837+360.98564736629*(L155-2451545)+0.000387933*M155^2-M155^3/38710000+$G$4,360)</f>
        <v>73.5622872360982</v>
      </c>
      <c r="O155" s="18" t="n">
        <f aca="false">0.60643382+1336.85522467*M155 - 0.00000313*M155^2 - INT(0.60643382+1336.85522467*M155 - 0.00000313*M155^2)</f>
        <v>0.406679799456128</v>
      </c>
      <c r="P155" s="15" t="n">
        <f aca="false">22640*SIN(Q155)-4586*SIN(Q155-2*S155)+2370*SIN(2*S155)+769*SIN(2*Q155)-668*SIN(R155)-412*SIN(2*T155)-212*SIN(2*Q155-2*S155)-206*SIN(Q155+R155-2*S155)+192*SIN(Q155+2*S155)-165*SIN(R155-2*S155)-125*SIN(S155)-110*SIN(Q155+R155)+148*SIN(Q155-R155)-55*SIN(2*T155-2*S155)</f>
        <v>-11654.7937851812</v>
      </c>
      <c r="Q155" s="18" t="n">
        <f aca="false">2*PI()*(0.374897+1325.55241*M155 - INT(0.374897+1325.55241*M155))</f>
        <v>3.75812773922332</v>
      </c>
      <c r="R155" s="26" t="n">
        <f aca="false">2*PI()*(0.99312619+99.99735956*M155 - 0.00000044*M155^2 - INT(0.99312619+99.99735956*M155- 0.00000044*M155^2))</f>
        <v>4.97828592708418</v>
      </c>
      <c r="S155" s="26" t="n">
        <f aca="false">2*PI()*(0.827361+1236.853086*M155 - INT(0.827361+1236.853086*M155))</f>
        <v>5.19823545867494</v>
      </c>
      <c r="T155" s="26" t="n">
        <f aca="false">2*PI()*(0.259086+1342.227825*M155 - INT(0.259086+1342.227825*M155))</f>
        <v>1.7861461280878</v>
      </c>
      <c r="U155" s="26" t="n">
        <f aca="false">T155+(P155+412*SIN(2*T155)+541*SIN(R155))/206264.8062</f>
        <v>1.72627748408546</v>
      </c>
      <c r="V155" s="26" t="n">
        <f aca="false">T155-2*S155</f>
        <v>-8.61032478926208</v>
      </c>
      <c r="W155" s="25" t="n">
        <f aca="false">-526*SIN(V155)+44*SIN(Q155+V155)-31*SIN(-Q155+V155)-23*SIN(R155+V155)+11*SIN(-R155+V155)-25*SIN(-2*Q155+T155)+21*SIN(-Q155+T155)</f>
        <v>367.376766552254</v>
      </c>
      <c r="X155" s="26" t="n">
        <f aca="false">2*PI()*(O155+P155/1296000-INT(O155+P155/1296000))</f>
        <v>2.49874050589382</v>
      </c>
      <c r="Y155" s="26" t="n">
        <f aca="false">(18520*SIN(U155)+W155)/206264.8062</f>
        <v>0.0904854921987093</v>
      </c>
      <c r="Z155" s="26" t="n">
        <f aca="false">Y155*180/PI()</f>
        <v>5.18443681014998</v>
      </c>
      <c r="AA155" s="26" t="n">
        <f aca="false">COS(Y155)*COS(X155)</f>
        <v>-0.797114800156475</v>
      </c>
      <c r="AB155" s="26" t="n">
        <f aca="false">COS(Y155)*SIN(X155)</f>
        <v>0.597028217443207</v>
      </c>
      <c r="AC155" s="26" t="n">
        <f aca="false">SIN(Y155)</f>
        <v>0.0903620658688698</v>
      </c>
      <c r="AD155" s="26" t="n">
        <f aca="false">COS($A$4*(23.4393-46.815*M155/3600))*AB155-SIN($A$4*(23.4393-46.815*M155/3600))*AC155</f>
        <v>0.51183524352603</v>
      </c>
      <c r="AE155" s="26" t="n">
        <f aca="false">SIN($A$4*(23.4393-46.815*M155/3600))*AB155+COS($A$4*(23.4393-46.815*M155/3600))*AC155</f>
        <v>0.320363354421432</v>
      </c>
      <c r="AF155" s="26" t="n">
        <f aca="false">SQRT(1-AE155*AE155)</f>
        <v>0.947294738264627</v>
      </c>
      <c r="AG155" s="10" t="n">
        <f aca="false">ATAN(AE155/AF155)/$A$4</f>
        <v>18.6849004374004</v>
      </c>
      <c r="AH155" s="26" t="n">
        <f aca="false">IF(24*ATAN(AD155/(AA155+AF155))/PI()&gt;0,24*ATAN(AD155/(AA155+AF155))/PI(),24*ATAN(AD155/(AA155+AF155))/PI()+24)</f>
        <v>9.81967209465695</v>
      </c>
      <c r="AI155" s="10" t="n">
        <f aca="false">IF(N155-15*AH155&gt;0,N155-15*AH155,360+N155-15*AH155)</f>
        <v>286.267205816244</v>
      </c>
      <c r="AJ155" s="18" t="n">
        <f aca="false">0.950724+0.051818*COS(Q155)+0.009531*COS(2*S155-Q155)+0.007843*COS(2*S155)+0.002824*COS(2*Q155)+0.000857*COS(2*S155+Q155)+0.000533*COS(2*S155-R155)+0.000401*COS(2*S155-R155-Q155)+0.00032*COS(Q155-R155)-0.000271*COS(S155)</f>
        <v>0.914174003813239</v>
      </c>
      <c r="AK155" s="50" t="n">
        <f aca="false">ASIN(COS($A$4*$G$2)*COS($A$4*AG155)*COS($A$4*AI155)+SIN($A$4*$G$2)*SIN($A$4*AG155))/$A$4</f>
        <v>6.83920507694742</v>
      </c>
      <c r="AL155" s="18" t="n">
        <f aca="false">ASIN((0.9983271+0.0016764*COS($A$4*2*$G$2))*COS($A$4*AK155)*SIN($A$4*AJ155))/$A$4</f>
        <v>0.907206955963586</v>
      </c>
      <c r="AM155" s="18" t="n">
        <f aca="false">AK155-AL155</f>
        <v>5.93199812098383</v>
      </c>
      <c r="AN155" s="10" t="n">
        <f aca="false"> IF(280.4664567 + 360007.6982779*M155/10 + 0.03032028*M155^2/100 + M155^3/49931000&lt;0,MOD(280.4664567 + 360007.6982779*M155/10 + 0.03032028*M155^2/100 + M155^3/49931000+360,360),MOD(280.4664567 + 360007.6982779*M155/10 + 0.03032028*M155^2/100 + M155^3/49931000,360))</f>
        <v>208.568069645758</v>
      </c>
      <c r="AO155" s="27" t="n">
        <f aca="false"> AN155 + (1.9146 - 0.004817*M155 - 0.000014*M155^2)*SIN(R155)+ (0.019993 - 0.000101*M155)*SIN(2*R155)+ 0.00029*SIN(3*R155)</f>
        <v>206.711890579258</v>
      </c>
      <c r="AP155" s="18" t="n">
        <f aca="false">ACOS(COS(X155-$A$4*AO155)*COS(Y155))/$A$4</f>
        <v>63.6611854128294</v>
      </c>
      <c r="AQ155" s="25" t="n">
        <f aca="false">180 - AP155 -0.1468*(1-0.0549*SIN(R155))*SIN($A$4*AP155)/(1-0.0167*SIN($A$4*AO155))</f>
        <v>116.201317796416</v>
      </c>
      <c r="AR155" s="25" t="n">
        <f aca="false">SIN($A$4*AI155)</f>
        <v>-0.959965778965499</v>
      </c>
      <c r="AS155" s="25" t="n">
        <f aca="false">COS($A$4*AI155)*SIN($A$4*$G$2) - TAN($A$4*AG155)*COS($A$4*$G$2)</f>
        <v>-0.420753896749496</v>
      </c>
      <c r="AT155" s="25" t="n">
        <f aca="false">IF(OR(AND(AR155*AS155&gt;0), AND(AR155&lt;0,AS155&gt;0)), MOD(ATAN2(AS155,AR155)/$A$4+360,360),  ATAN2(AS155,AR155)/$A$4)</f>
        <v>246.332116015454</v>
      </c>
      <c r="AU155" s="29" t="n">
        <f aca="false">(1+SIN($A$4*H155)*SIN($A$4*AJ155))*120*ASIN(0.272481*SIN($A$4*AJ155))/$A$4</f>
        <v>29.9395170343118</v>
      </c>
      <c r="AV155" s="10" t="n">
        <f aca="false">COS(X155)</f>
        <v>-0.800389208170862</v>
      </c>
      <c r="AW155" s="10" t="n">
        <f aca="false">SIN(X155)</f>
        <v>0.599480704813442</v>
      </c>
      <c r="AX155" s="30" t="n">
        <f aca="false"> 385000.56 + (-20905355*COS(Q155) - 3699111*COS(2*S155-Q155) - 2955968*COS(2*S155) - 569925*COS(2*Q155) + (1-0.002516*M155)*48888*COS(R155) - 3149*COS(2*T155)  +246158*COS(2*S155-2*Q155) -(1-0.002516*M155)*152138*COS(2*S155-R155-Q155) -170733*COS(2*S155+Q155) -(1-0.002516*M155)*204586*COS(2*S155-R155) -(1-0.002516*M155)*129620*COS(R155-Q155)  + 108743*COS(S155) +(1-0.002516*M155)*104755*COS(R155+Q155) +10321*COS(2*S155-2*T155) +79661*COS(Q155-2*T155) -34782*COS(4*S155-Q155) -23210*COS(3*Q155)  -21636*COS(4*S155-2*Q155) +(1-0.002516*M155)*24208*COS(2*S155+R155-Q155) +(1-0.002516*M155)*30824*COS(2*S155+R155) -8379*COS(S155-Q155) -(1-0.002516*M155)*16675*COS(S155+R155)  -(1-0.002516*M155)*12831*COS(2*S155-R155+Q155) -10445*COS(2*S155+2*Q155) -11650*COS(4*S155) +14403*COS(2*S155-3*Q155) -(1-0.002516*M155)*7003*COS(R155-2*Q155)  + (1-0.002516*M155)*10056*COS(2*S155-R155-2*Q155) +6322*COS(S155+Q155) -(1-0.002516*M155)*(1-0.002516*M155)*9884*COS(2*S155-2*R155) +(1-0.002516*M155)*5751*COS(R155+2*Q155) -(1-0.002516*M155)*(1-0.002516*M155)*4950*COS(2*S155-2*R155-Q155)  +4130*COS(2*S155+Q155-2*T155) -(1-0.002516*M155)*3958*COS(4*S155-R155-Q155) +3258*COS(3*S155-Q155) +(1-0.002516*M155)*2616*COS(2*S155+R155+Q155) -(1-0.002516*M155)*1897*COS(4*S155-R155-2*Q155)  -(1-0.002516*M155)*(1-0.002516*M155)*2117*COS(2*R155-Q155) +(1-0.002516*M155)*(1-0.002516*M155)*2354*COS(2*S155+2*R155-Q155) -1423*COS(4*S155+Q155) -1117*COS(4*Q155) -(1-0.002516*M155)*1571*COS(4*S155-R155)  -1739*COS(S155-2*Q155) -4421*COS(2*Q155-2*T155) +(1-0.002516*M155)*(1-0.002516*M155)*1165*COS(2*R155+Q155) +8752*COS(2*S155-Q155-2*T155))/1000</f>
        <v>399733.485470927</v>
      </c>
      <c r="AY155" s="10" t="n">
        <f aca="false">AY154+1/8</f>
        <v>20.125</v>
      </c>
      <c r="AZ155" s="17" t="n">
        <f aca="false">AZ154+1</f>
        <v>154</v>
      </c>
      <c r="BA155" s="32" t="n">
        <f aca="false">ATAN(0.99664719*TAN($A$4*input!$E$2))</f>
        <v>-0.400219206115995</v>
      </c>
      <c r="BB155" s="32" t="n">
        <f aca="false">COS(BA155)</f>
        <v>0.920975608992155</v>
      </c>
      <c r="BC155" s="32" t="n">
        <f aca="false">0.99664719*SIN(BA155)</f>
        <v>-0.388313912533463</v>
      </c>
      <c r="BD155" s="32" t="n">
        <f aca="false">6378.14/AX155</f>
        <v>0.0159559812520732</v>
      </c>
      <c r="BE155" s="33" t="n">
        <f aca="false">MOD(N155-15*AH155,360)</f>
        <v>286.267205816244</v>
      </c>
      <c r="BF155" s="27" t="n">
        <f aca="false">COS($A$4*AG155)*SIN($A$4*BE155)</f>
        <v>-0.909370531328121</v>
      </c>
      <c r="BG155" s="27" t="n">
        <f aca="false">COS($A$4*AG155)*COS($A$4*BE155)-BB155*BD155</f>
        <v>0.250658577297919</v>
      </c>
      <c r="BH155" s="27" t="n">
        <f aca="false">SIN($A$4*AG155)-BC155*BD155</f>
        <v>0.326559283929735</v>
      </c>
      <c r="BI155" s="46" t="n">
        <f aca="false">SQRT(BF155^2+BG155^2+BH155^2)</f>
        <v>0.998211125735286</v>
      </c>
      <c r="BJ155" s="35" t="n">
        <f aca="false">AX155*BI155</f>
        <v>399018.412526024</v>
      </c>
    </row>
    <row r="156" customFormat="false" ht="15" hidden="false" customHeight="false" outlineLevel="0" collapsed="false">
      <c r="A156" s="20"/>
      <c r="B156" s="20"/>
      <c r="C156" s="15" t="n">
        <f aca="false">MOD(C155+3,24)</f>
        <v>6</v>
      </c>
      <c r="D156" s="17" t="n">
        <v>20</v>
      </c>
      <c r="E156" s="102" t="n">
        <f aca="false">input!$C$2</f>
        <v>10</v>
      </c>
      <c r="F156" s="102" t="n">
        <f aca="false">input!$D$2</f>
        <v>2022</v>
      </c>
      <c r="H156" s="39" t="n">
        <f aca="false">AM156</f>
        <v>38.715170052609</v>
      </c>
      <c r="I156" s="48" t="n">
        <f aca="false">H156+1.02/(TAN($A$4*(H156+10.3/(H156+5.11)))*60)</f>
        <v>38.7362006571274</v>
      </c>
      <c r="J156" s="39" t="n">
        <f aca="false">100*(1+COS($A$4*AQ156))/2</f>
        <v>26.8375319970238</v>
      </c>
      <c r="K156" s="48" t="n">
        <f aca="false">IF(AI156&gt;180,AT156-180,AT156+180)</f>
        <v>38.0995766966149</v>
      </c>
      <c r="L156" s="10" t="n">
        <f aca="false">L155+1/8</f>
        <v>2459872.75</v>
      </c>
      <c r="M156" s="49" t="n">
        <f aca="false">(L156-2451545)/36525</f>
        <v>0.228001368925394</v>
      </c>
      <c r="N156" s="15" t="n">
        <f aca="false">MOD(280.46061837+360.98564736629*(L156-2451545)+0.000387933*M156^2-M156^3/38710000+$G$4,360)</f>
        <v>118.685493157711</v>
      </c>
      <c r="O156" s="18" t="n">
        <f aca="false">0.60643382+1336.85522467*M156 - 0.00000313*M156^2 - INT(0.60643382+1336.85522467*M156 - 0.00000313*M156^2)</f>
        <v>0.411254937112744</v>
      </c>
      <c r="P156" s="15" t="n">
        <f aca="false">22640*SIN(Q156)-4586*SIN(Q156-2*S156)+2370*SIN(2*S156)+769*SIN(2*Q156)-668*SIN(R156)-412*SIN(2*T156)-212*SIN(2*Q156-2*S156)-206*SIN(Q156+R156-2*S156)+192*SIN(Q156+2*S156)-165*SIN(R156-2*S156)-125*SIN(S156)-110*SIN(Q156+R156)+148*SIN(Q156-R156)-55*SIN(2*T156-2*S156)</f>
        <v>-12097.0210739128</v>
      </c>
      <c r="Q156" s="18" t="n">
        <f aca="false">2*PI()*(0.374897+1325.55241*M156 - INT(0.374897+1325.55241*M156))</f>
        <v>3.78663113219548</v>
      </c>
      <c r="R156" s="26" t="n">
        <f aca="false">2*PI()*(0.99312619+99.99735956*M156 - 0.00000044*M156^2 - INT(0.99312619+99.99735956*M156- 0.00000044*M156^2))</f>
        <v>4.98043617328231</v>
      </c>
      <c r="S156" s="26" t="n">
        <f aca="false">2*PI()*(0.827361+1236.853086*M156 - INT(0.827361+1236.853086*M156))</f>
        <v>5.22483154744022</v>
      </c>
      <c r="T156" s="26" t="n">
        <f aca="false">2*PI()*(0.259086+1342.227825*M156 - INT(0.259086+1342.227825*M156))</f>
        <v>1.81500809300556</v>
      </c>
      <c r="U156" s="26" t="n">
        <f aca="false">T156+(P156+412*SIN(2*T156)+541*SIN(R156))/206264.8062</f>
        <v>1.75289363581886</v>
      </c>
      <c r="V156" s="26" t="n">
        <f aca="false">T156-2*S156</f>
        <v>-8.63465500187488</v>
      </c>
      <c r="W156" s="25" t="n">
        <f aca="false">-526*SIN(V156)+44*SIN(Q156+V156)-31*SIN(-Q156+V156)-23*SIN(R156+V156)+11*SIN(-R156+V156)-25*SIN(-2*Q156+T156)+21*SIN(-Q156+T156)</f>
        <v>360.125626603329</v>
      </c>
      <c r="X156" s="26" t="n">
        <f aca="false">2*PI()*(O156+P156/1296000-INT(O156+P156/1296000))</f>
        <v>2.52534296519883</v>
      </c>
      <c r="Y156" s="26" t="n">
        <f aca="false">(18520*SIN(U156)+W156)/206264.8062</f>
        <v>0.0900488900385484</v>
      </c>
      <c r="Z156" s="26" t="n">
        <f aca="false">Y156*180/PI()</f>
        <v>5.15942134904647</v>
      </c>
      <c r="AA156" s="26" t="n">
        <f aca="false">COS(Y156)*COS(X156)</f>
        <v>-0.812745424622954</v>
      </c>
      <c r="AB156" s="26" t="n">
        <f aca="false">COS(Y156)*SIN(X156)</f>
        <v>0.575637008916352</v>
      </c>
      <c r="AC156" s="26" t="n">
        <f aca="false">SIN(Y156)</f>
        <v>0.0899272412580856</v>
      </c>
      <c r="AD156" s="26" t="n">
        <f aca="false">COS($A$4*(23.4393-46.815*M156/3600))*AB156-SIN($A$4*(23.4393-46.815*M156/3600))*AC156</f>
        <v>0.492381697401495</v>
      </c>
      <c r="AE156" s="26" t="n">
        <f aca="false">SIN($A$4*(23.4393-46.815*M156/3600))*AB156+COS($A$4*(23.4393-46.815*M156/3600))*AC156</f>
        <v>0.311456479814559</v>
      </c>
      <c r="AF156" s="26" t="n">
        <f aca="false">SQRT(1-AE156*AE156)</f>
        <v>0.950260417560115</v>
      </c>
      <c r="AG156" s="10" t="n">
        <f aca="false">ATAN(AE156/AF156)/$A$4</f>
        <v>18.1470266641885</v>
      </c>
      <c r="AH156" s="26" t="n">
        <f aca="false">IF(24*ATAN(AD156/(AA156+AF156))/PI()&gt;0,24*ATAN(AD156/(AA156+AF156))/PI(),24*ATAN(AD156/(AA156+AF156))/PI()+24)</f>
        <v>9.91943071796525</v>
      </c>
      <c r="AI156" s="10" t="n">
        <f aca="false">IF(N156-15*AH156&gt;0,N156-15*AH156,360+N156-15*AH156)</f>
        <v>329.894032388232</v>
      </c>
      <c r="AJ156" s="18" t="n">
        <f aca="false">0.950724+0.051818*COS(Q156)+0.009531*COS(2*S156-Q156)+0.007843*COS(2*S156)+0.002824*COS(2*Q156)+0.000857*COS(2*S156+Q156)+0.000533*COS(2*S156-R156)+0.000401*COS(2*S156-R156-Q156)+0.00032*COS(Q156-R156)-0.000271*COS(S156)</f>
        <v>0.915100756624809</v>
      </c>
      <c r="AK156" s="50" t="n">
        <f aca="false">ASIN(COS($A$4*$G$2)*COS($A$4*AG156)*COS($A$4*AI156)+SIN($A$4*$G$2)*SIN($A$4*AG156))/$A$4</f>
        <v>39.42170751047</v>
      </c>
      <c r="AL156" s="18" t="n">
        <f aca="false">ASIN((0.9983271+0.0016764*COS($A$4*2*$G$2))*COS($A$4*AK156)*SIN($A$4*AJ156))/$A$4</f>
        <v>0.70653745786103</v>
      </c>
      <c r="AM156" s="18" t="n">
        <f aca="false">AK156-AL156</f>
        <v>38.715170052609</v>
      </c>
      <c r="AN156" s="10" t="n">
        <f aca="false"> IF(280.4664567 + 360007.6982779*M156/10 + 0.03032028*M156^2/100 + M156^3/49931000&lt;0,MOD(280.4664567 + 360007.6982779*M156/10 + 0.03032028*M156^2/100 + M156^3/49931000+360,360),MOD(280.4664567 + 360007.6982779*M156/10 + 0.03032028*M156^2/100 + M156^3/49931000,360))</f>
        <v>208.691275566247</v>
      </c>
      <c r="AO156" s="27" t="n">
        <f aca="false"> AN156 + (1.9146 - 0.004817*M156 - 0.000014*M156^2)*SIN(R156)+ (0.019993 - 0.000101*M156)*SIN(2*R156)+ 0.00029*SIN(3*R156)</f>
        <v>206.83610669982</v>
      </c>
      <c r="AP156" s="18" t="n">
        <f aca="false">ACOS(COS(X156-$A$4*AO156)*COS(Y156))/$A$4</f>
        <v>62.2672258678513</v>
      </c>
      <c r="AQ156" s="25" t="n">
        <f aca="false">180 - AP156 -0.1468*(1-0.0549*SIN(R156))*SIN($A$4*AP156)/(1-0.0167*SIN($A$4*AO156))</f>
        <v>117.596982355733</v>
      </c>
      <c r="AR156" s="25" t="n">
        <f aca="false">SIN($A$4*AI156)</f>
        <v>-0.501600843830053</v>
      </c>
      <c r="AS156" s="25" t="n">
        <f aca="false">COS($A$4*AI156)*SIN($A$4*$G$2) - TAN($A$4*AG156)*COS($A$4*$G$2)</f>
        <v>-0.639725002871108</v>
      </c>
      <c r="AT156" s="25" t="n">
        <f aca="false">IF(OR(AND(AR156*AS156&gt;0), AND(AR156&lt;0,AS156&gt;0)), MOD(ATAN2(AS156,AR156)/$A$4+360,360),  ATAN2(AS156,AR156)/$A$4)</f>
        <v>218.099576696615</v>
      </c>
      <c r="AU156" s="29" t="n">
        <f aca="false">(1+SIN($A$4*H156)*SIN($A$4*AJ156))*120*ASIN(0.272481*SIN($A$4*AJ156))/$A$4</f>
        <v>30.2194053779516</v>
      </c>
      <c r="AV156" s="10" t="n">
        <f aca="false">COS(X156)</f>
        <v>-0.816051790935056</v>
      </c>
      <c r="AW156" s="10" t="n">
        <f aca="false">SIN(X156)</f>
        <v>0.577978783790277</v>
      </c>
      <c r="AX156" s="30" t="n">
        <f aca="false"> 385000.56 + (-20905355*COS(Q156) - 3699111*COS(2*S156-Q156) - 2955968*COS(2*S156) - 569925*COS(2*Q156) + (1-0.002516*M156)*48888*COS(R156) - 3149*COS(2*T156)  +246158*COS(2*S156-2*Q156) -(1-0.002516*M156)*152138*COS(2*S156-R156-Q156) -170733*COS(2*S156+Q156) -(1-0.002516*M156)*204586*COS(2*S156-R156) -(1-0.002516*M156)*129620*COS(R156-Q156)  + 108743*COS(S156) +(1-0.002516*M156)*104755*COS(R156+Q156) +10321*COS(2*S156-2*T156) +79661*COS(Q156-2*T156) -34782*COS(4*S156-Q156) -23210*COS(3*Q156)  -21636*COS(4*S156-2*Q156) +(1-0.002516*M156)*24208*COS(2*S156+R156-Q156) +(1-0.002516*M156)*30824*COS(2*S156+R156) -8379*COS(S156-Q156) -(1-0.002516*M156)*16675*COS(S156+R156)  -(1-0.002516*M156)*12831*COS(2*S156-R156+Q156) -10445*COS(2*S156+2*Q156) -11650*COS(4*S156) +14403*COS(2*S156-3*Q156) -(1-0.002516*M156)*7003*COS(R156-2*Q156)  + (1-0.002516*M156)*10056*COS(2*S156-R156-2*Q156) +6322*COS(S156+Q156) -(1-0.002516*M156)*(1-0.002516*M156)*9884*COS(2*S156-2*R156) +(1-0.002516*M156)*5751*COS(R156+2*Q156) -(1-0.002516*M156)*(1-0.002516*M156)*4950*COS(2*S156-2*R156-Q156)  +4130*COS(2*S156+Q156-2*T156) -(1-0.002516*M156)*3958*COS(4*S156-R156-Q156) +3258*COS(3*S156-Q156) +(1-0.002516*M156)*2616*COS(2*S156+R156+Q156) -(1-0.002516*M156)*1897*COS(4*S156-R156-2*Q156)  -(1-0.002516*M156)*(1-0.002516*M156)*2117*COS(2*R156-Q156) +(1-0.002516*M156)*(1-0.002516*M156)*2354*COS(2*S156+2*R156-Q156) -1423*COS(4*S156+Q156) -1117*COS(4*Q156) -(1-0.002516*M156)*1571*COS(4*S156-R156)  -1739*COS(S156-2*Q156) -4421*COS(2*Q156-2*T156) +(1-0.002516*M156)*(1-0.002516*M156)*1165*COS(2*R156+Q156) +8752*COS(2*S156-Q156-2*T156))/1000</f>
        <v>399317.575386374</v>
      </c>
      <c r="AY156" s="10" t="n">
        <f aca="false">AY155+1/8</f>
        <v>20.25</v>
      </c>
      <c r="AZ156" s="17" t="n">
        <f aca="false">AZ155+1</f>
        <v>155</v>
      </c>
      <c r="BA156" s="32" t="n">
        <f aca="false">ATAN(0.99664719*TAN($A$4*input!$E$2))</f>
        <v>-0.400219206115995</v>
      </c>
      <c r="BB156" s="32" t="n">
        <f aca="false">COS(BA156)</f>
        <v>0.920975608992155</v>
      </c>
      <c r="BC156" s="32" t="n">
        <f aca="false">0.99664719*SIN(BA156)</f>
        <v>-0.388313912533463</v>
      </c>
      <c r="BD156" s="32" t="n">
        <f aca="false">6378.14/AX156</f>
        <v>0.0159726002388665</v>
      </c>
      <c r="BE156" s="33" t="n">
        <f aca="false">MOD(N156-15*AH156,360)</f>
        <v>329.894032388232</v>
      </c>
      <c r="BF156" s="27" t="n">
        <f aca="false">COS($A$4*AG156)*SIN($A$4*BE156)</f>
        <v>-0.476651427306452</v>
      </c>
      <c r="BG156" s="27" t="n">
        <f aca="false">COS($A$4*AG156)*COS($A$4*BE156)-BB156*BD156</f>
        <v>0.807359134011563</v>
      </c>
      <c r="BH156" s="27" t="n">
        <f aca="false">SIN($A$4*AG156)-BC156*BD156</f>
        <v>0.317658862706646</v>
      </c>
      <c r="BI156" s="46" t="n">
        <f aca="false">SQRT(BF156^2+BG156^2+BH156^2)</f>
        <v>0.989915404204449</v>
      </c>
      <c r="BJ156" s="35" t="n">
        <f aca="false">AX156*BI156</f>
        <v>395290.619044543</v>
      </c>
    </row>
    <row r="157" customFormat="false" ht="15" hidden="false" customHeight="false" outlineLevel="0" collapsed="false">
      <c r="A157" s="20"/>
      <c r="B157" s="20"/>
      <c r="C157" s="15" t="n">
        <f aca="false">MOD(C156+3,24)</f>
        <v>9</v>
      </c>
      <c r="D157" s="17" t="n">
        <v>20</v>
      </c>
      <c r="E157" s="102" t="n">
        <f aca="false">input!$C$2</f>
        <v>10</v>
      </c>
      <c r="F157" s="102" t="n">
        <f aca="false">input!$D$2</f>
        <v>2022</v>
      </c>
      <c r="H157" s="39" t="n">
        <f aca="false">AM157</f>
        <v>46.6840229566293</v>
      </c>
      <c r="I157" s="48" t="n">
        <f aca="false">H157+1.02/(TAN($A$4*(H157+10.3/(H157+5.11)))*60)</f>
        <v>46.6999408014676</v>
      </c>
      <c r="J157" s="39" t="n">
        <f aca="false">100*(1+COS($A$4*AQ157))/2</f>
        <v>25.7624997888978</v>
      </c>
      <c r="K157" s="48" t="n">
        <f aca="false">IF(AI157&gt;180,AT157-180,AT157+180)</f>
        <v>340.804200526951</v>
      </c>
      <c r="L157" s="10" t="n">
        <f aca="false">L156+1/8</f>
        <v>2459872.875</v>
      </c>
      <c r="M157" s="49" t="n">
        <f aca="false">(L157-2451545)/36525</f>
        <v>0.228004791238877</v>
      </c>
      <c r="N157" s="15" t="n">
        <f aca="false">MOD(280.46061837+360.98564736629*(L157-2451545)+0.000387933*M157^2-M157^3/38710000+$G$4,360)</f>
        <v>163.808699079324</v>
      </c>
      <c r="O157" s="18" t="n">
        <f aca="false">0.60643382+1336.85522467*M157 - 0.00000313*M157^2 - INT(0.60643382+1336.85522467*M157 - 0.00000313*M157^2)</f>
        <v>0.415830074769303</v>
      </c>
      <c r="P157" s="15" t="n">
        <f aca="false">22640*SIN(Q157)-4586*SIN(Q157-2*S157)+2370*SIN(2*S157)+769*SIN(2*Q157)-668*SIN(R157)-412*SIN(2*T157)-212*SIN(2*Q157-2*S157)-206*SIN(Q157+R157-2*S157)+192*SIN(Q157+2*S157)-165*SIN(R157-2*S157)-125*SIN(S157)-110*SIN(Q157+R157)+148*SIN(Q157-R157)-55*SIN(2*T157-2*S157)</f>
        <v>-12527.5302090662</v>
      </c>
      <c r="Q157" s="18" t="n">
        <f aca="false">2*PI()*(0.374897+1325.55241*M157 - INT(0.374897+1325.55241*M157))</f>
        <v>3.81513452516728</v>
      </c>
      <c r="R157" s="26" t="n">
        <f aca="false">2*PI()*(0.99312619+99.99735956*M157 - 0.00000044*M157^2 - INT(0.99312619+99.99735956*M157- 0.00000044*M157^2))</f>
        <v>4.98258641948039</v>
      </c>
      <c r="S157" s="26" t="n">
        <f aca="false">2*PI()*(0.827361+1236.853086*M157 - INT(0.827361+1236.853086*M157))</f>
        <v>5.25142763620478</v>
      </c>
      <c r="T157" s="26" t="n">
        <f aca="false">2*PI()*(0.259086+1342.227825*M157 - INT(0.259086+1342.227825*M157))</f>
        <v>1.84387005792296</v>
      </c>
      <c r="U157" s="26" t="n">
        <f aca="false">T157+(P157+412*SIN(2*T157)+541*SIN(R157))/206264.8062</f>
        <v>1.77956973260233</v>
      </c>
      <c r="V157" s="26" t="n">
        <f aca="false">T157-2*S157</f>
        <v>-8.65898521448661</v>
      </c>
      <c r="W157" s="25" t="n">
        <f aca="false">-526*SIN(V157)+44*SIN(Q157+V157)-31*SIN(-Q157+V157)-23*SIN(R157+V157)+11*SIN(-R157+V157)-25*SIN(-2*Q157+T157)+21*SIN(-Q157+T157)</f>
        <v>352.687197083109</v>
      </c>
      <c r="X157" s="26" t="n">
        <f aca="false">2*PI()*(O157+P157/1296000-INT(O157+P157/1296000))</f>
        <v>2.55200223571519</v>
      </c>
      <c r="Y157" s="26" t="n">
        <f aca="false">(18520*SIN(U157)+W157)/206264.8062</f>
        <v>0.089547712648489</v>
      </c>
      <c r="Z157" s="26" t="n">
        <f aca="false">Y157*180/PI()</f>
        <v>5.13070599980868</v>
      </c>
      <c r="AA157" s="26" t="n">
        <f aca="false">COS(Y157)*COS(X157)</f>
        <v>-0.827838227257382</v>
      </c>
      <c r="AB157" s="26" t="n">
        <f aca="false">COS(Y157)*SIN(X157)</f>
        <v>0.553792819949068</v>
      </c>
      <c r="AC157" s="26" t="n">
        <f aca="false">SIN(Y157)</f>
        <v>0.089428083196574</v>
      </c>
      <c r="AD157" s="26" t="n">
        <f aca="false">COS($A$4*(23.4393-46.815*M157/3600))*AB157-SIN($A$4*(23.4393-46.815*M157/3600))*AC157</f>
        <v>0.472538127870317</v>
      </c>
      <c r="AE157" s="26" t="n">
        <f aca="false">SIN($A$4*(23.4393-46.815*M157/3600))*AB157+COS($A$4*(23.4393-46.815*M157/3600))*AC157</f>
        <v>0.30231041530217</v>
      </c>
      <c r="AF157" s="26" t="n">
        <f aca="false">SQRT(1-AE157*AE157)</f>
        <v>0.953209532474277</v>
      </c>
      <c r="AG157" s="10" t="n">
        <f aca="false">ATAN(AE157/AF157)/$A$4</f>
        <v>17.5964249980994</v>
      </c>
      <c r="AH157" s="26" t="n">
        <f aca="false">IF(24*ATAN(AD157/(AA157+AF157))/PI()&gt;0,24*ATAN(AD157/(AA157+AF157))/PI(),24*ATAN(AD157/(AA157+AF157))/PI()+24)</f>
        <v>10.018790285357</v>
      </c>
      <c r="AI157" s="10" t="n">
        <f aca="false">IF(N157-15*AH157&gt;0,N157-15*AH157,360+N157-15*AH157)</f>
        <v>13.5268447989692</v>
      </c>
      <c r="AJ157" s="18" t="n">
        <f aca="false">0.950724+0.051818*COS(Q157)+0.009531*COS(2*S157-Q157)+0.007843*COS(2*S157)+0.002824*COS(2*Q157)+0.000857*COS(2*S157+Q157)+0.000533*COS(2*S157-R157)+0.000401*COS(2*S157-R157-Q157)+0.00032*COS(Q157-R157)-0.000271*COS(S157)</f>
        <v>0.916064376847482</v>
      </c>
      <c r="AK157" s="50" t="n">
        <f aca="false">ASIN(COS($A$4*$G$2)*COS($A$4*AG157)*COS($A$4*AI157)+SIN($A$4*$G$2)*SIN($A$4*AG157))/$A$4</f>
        <v>47.304873511466</v>
      </c>
      <c r="AL157" s="18" t="n">
        <f aca="false">ASIN((0.9983271+0.0016764*COS($A$4*2*$G$2))*COS($A$4*AK157)*SIN($A$4*AJ157))/$A$4</f>
        <v>0.620850554836697</v>
      </c>
      <c r="AM157" s="18" t="n">
        <f aca="false">AK157-AL157</f>
        <v>46.6840229566293</v>
      </c>
      <c r="AN157" s="10" t="n">
        <f aca="false"> IF(280.4664567 + 360007.6982779*M157/10 + 0.03032028*M157^2/100 + M157^3/49931000&lt;0,MOD(280.4664567 + 360007.6982779*M157/10 + 0.03032028*M157^2/100 + M157^3/49931000+360,360),MOD(280.4664567 + 360007.6982779*M157/10 + 0.03032028*M157^2/100 + M157^3/49931000,360))</f>
        <v>208.814481486734</v>
      </c>
      <c r="AO157" s="27" t="n">
        <f aca="false"> AN157 + (1.9146 - 0.004817*M157 - 0.000014*M157^2)*SIN(R157)+ (0.019993 - 0.000101*M157)*SIN(2*R157)+ 0.00029*SIN(3*R157)</f>
        <v>206.960331531885</v>
      </c>
      <c r="AP157" s="18" t="n">
        <f aca="false">ACOS(COS(X157-$A$4*AO157)*COS(Y157))/$A$4</f>
        <v>60.8699031395693</v>
      </c>
      <c r="AQ157" s="25" t="n">
        <f aca="false">180 - AP157 -0.1468*(1-0.0549*SIN(R157))*SIN($A$4*AP157)/(1-0.0167*SIN($A$4*AO157))</f>
        <v>118.996094666022</v>
      </c>
      <c r="AR157" s="25" t="n">
        <f aca="false">SIN($A$4*AI157)</f>
        <v>0.233900922820504</v>
      </c>
      <c r="AS157" s="25" t="n">
        <f aca="false">COS($A$4*AI157)*SIN($A$4*$G$2) - TAN($A$4*AG157)*COS($A$4*$G$2)</f>
        <v>-0.671830543861032</v>
      </c>
      <c r="AT157" s="25" t="n">
        <f aca="false">IF(OR(AND(AR157*AS157&gt;0), AND(AR157&lt;0,AS157&gt;0)), MOD(ATAN2(AS157,AR157)/$A$4+360,360),  ATAN2(AS157,AR157)/$A$4)</f>
        <v>160.804200526951</v>
      </c>
      <c r="AU157" s="29" t="n">
        <f aca="false">(1+SIN($A$4*H157)*SIN($A$4*AJ157))*120*ASIN(0.272481*SIN($A$4*AJ157))/$A$4</f>
        <v>30.3004468922027</v>
      </c>
      <c r="AV157" s="10" t="n">
        <f aca="false">COS(X157)</f>
        <v>-0.831168484925774</v>
      </c>
      <c r="AW157" s="10" t="n">
        <f aca="false">SIN(X157)</f>
        <v>0.556020637806002</v>
      </c>
      <c r="AX157" s="30" t="n">
        <f aca="false"> 385000.56 + (-20905355*COS(Q157) - 3699111*COS(2*S157-Q157) - 2955968*COS(2*S157) - 569925*COS(2*Q157) + (1-0.002516*M157)*48888*COS(R157) - 3149*COS(2*T157)  +246158*COS(2*S157-2*Q157) -(1-0.002516*M157)*152138*COS(2*S157-R157-Q157) -170733*COS(2*S157+Q157) -(1-0.002516*M157)*204586*COS(2*S157-R157) -(1-0.002516*M157)*129620*COS(R157-Q157)  + 108743*COS(S157) +(1-0.002516*M157)*104755*COS(R157+Q157) +10321*COS(2*S157-2*T157) +79661*COS(Q157-2*T157) -34782*COS(4*S157-Q157) -23210*COS(3*Q157)  -21636*COS(4*S157-2*Q157) +(1-0.002516*M157)*24208*COS(2*S157+R157-Q157) +(1-0.002516*M157)*30824*COS(2*S157+R157) -8379*COS(S157-Q157) -(1-0.002516*M157)*16675*COS(S157+R157)  -(1-0.002516*M157)*12831*COS(2*S157-R157+Q157) -10445*COS(2*S157+2*Q157) -11650*COS(4*S157) +14403*COS(2*S157-3*Q157) -(1-0.002516*M157)*7003*COS(R157-2*Q157)  + (1-0.002516*M157)*10056*COS(2*S157-R157-2*Q157) +6322*COS(S157+Q157) -(1-0.002516*M157)*(1-0.002516*M157)*9884*COS(2*S157-2*R157) +(1-0.002516*M157)*5751*COS(R157+2*Q157) -(1-0.002516*M157)*(1-0.002516*M157)*4950*COS(2*S157-2*R157-Q157)  +4130*COS(2*S157+Q157-2*T157) -(1-0.002516*M157)*3958*COS(4*S157-R157-Q157) +3258*COS(3*S157-Q157) +(1-0.002516*M157)*2616*COS(2*S157+R157+Q157) -(1-0.002516*M157)*1897*COS(4*S157-R157-2*Q157)  -(1-0.002516*M157)*(1-0.002516*M157)*2117*COS(2*R157-Q157) +(1-0.002516*M157)*(1-0.002516*M157)*2354*COS(2*S157+2*R157-Q157) -1423*COS(4*S157+Q157) -1117*COS(4*Q157) -(1-0.002516*M157)*1571*COS(4*S157-R157)  -1739*COS(S157-2*Q157) -4421*COS(2*Q157-2*T157) +(1-0.002516*M157)*(1-0.002516*M157)*1165*COS(2*R157+Q157) +8752*COS(2*S157-Q157-2*T157))/1000</f>
        <v>398886.673329458</v>
      </c>
      <c r="AY157" s="10" t="n">
        <f aca="false">AY156+1/8</f>
        <v>20.375</v>
      </c>
      <c r="AZ157" s="17" t="n">
        <f aca="false">AZ156+1</f>
        <v>156</v>
      </c>
      <c r="BA157" s="32" t="n">
        <f aca="false">ATAN(0.99664719*TAN($A$4*input!$E$2))</f>
        <v>-0.400219206115995</v>
      </c>
      <c r="BB157" s="32" t="n">
        <f aca="false">COS(BA157)</f>
        <v>0.920975608992155</v>
      </c>
      <c r="BC157" s="32" t="n">
        <f aca="false">0.99664719*SIN(BA157)</f>
        <v>-0.388313912533463</v>
      </c>
      <c r="BD157" s="32" t="n">
        <f aca="false">6378.14/AX157</f>
        <v>0.0159898548295997</v>
      </c>
      <c r="BE157" s="33" t="n">
        <f aca="false">MOD(N157-15*AH157,360)</f>
        <v>13.5268447989692</v>
      </c>
      <c r="BF157" s="27" t="n">
        <f aca="false">COS($A$4*AG157)*SIN($A$4*BE157)</f>
        <v>0.222956589287035</v>
      </c>
      <c r="BG157" s="27" t="n">
        <f aca="false">COS($A$4*AG157)*COS($A$4*BE157)-BB157*BD157</f>
        <v>0.912041650771472</v>
      </c>
      <c r="BH157" s="27" t="n">
        <f aca="false">SIN($A$4*AG157)-BC157*BD157</f>
        <v>0.308519498391894</v>
      </c>
      <c r="BI157" s="46" t="n">
        <f aca="false">SQRT(BF157^2+BG157^2+BH157^2)</f>
        <v>0.988288365982543</v>
      </c>
      <c r="BJ157" s="35" t="n">
        <f aca="false">AX157*BI157</f>
        <v>394215.058596982</v>
      </c>
    </row>
    <row r="158" customFormat="false" ht="15" hidden="false" customHeight="false" outlineLevel="0" collapsed="false">
      <c r="A158" s="20"/>
      <c r="B158" s="20"/>
      <c r="C158" s="15" t="n">
        <f aca="false">MOD(C157+3,24)</f>
        <v>12</v>
      </c>
      <c r="D158" s="17" t="n">
        <v>20</v>
      </c>
      <c r="E158" s="102" t="n">
        <f aca="false">input!$C$2</f>
        <v>10</v>
      </c>
      <c r="F158" s="102" t="n">
        <f aca="false">input!$D$2</f>
        <v>2022</v>
      </c>
      <c r="H158" s="39" t="n">
        <f aca="false">AM158</f>
        <v>20.4157324029208</v>
      </c>
      <c r="I158" s="48" t="n">
        <f aca="false">H158+1.02/(TAN($A$4*(H158+10.3/(H158+5.11)))*60)</f>
        <v>20.4604399725784</v>
      </c>
      <c r="J158" s="39" t="n">
        <f aca="false">100*(1+COS($A$4*AQ158))/2</f>
        <v>24.699224559645</v>
      </c>
      <c r="K158" s="48" t="n">
        <f aca="false">IF(AI158&gt;180,AT158-180,AT158+180)</f>
        <v>300.446073767158</v>
      </c>
      <c r="L158" s="10" t="n">
        <f aca="false">L157+1/8</f>
        <v>2459873</v>
      </c>
      <c r="M158" s="49" t="n">
        <f aca="false">(L158-2451545)/36525</f>
        <v>0.228008213552361</v>
      </c>
      <c r="N158" s="15" t="n">
        <f aca="false">MOD(280.46061837+360.98564736629*(L158-2451545)+0.000387933*M158^2-M158^3/38710000+$G$4,360)</f>
        <v>208.931905000471</v>
      </c>
      <c r="O158" s="18" t="n">
        <f aca="false">0.60643382+1336.85522467*M158 - 0.00000313*M158^2 - INT(0.60643382+1336.85522467*M158 - 0.00000313*M158^2)</f>
        <v>0.420405212425862</v>
      </c>
      <c r="P158" s="15" t="n">
        <f aca="false">22640*SIN(Q158)-4586*SIN(Q158-2*S158)+2370*SIN(2*S158)+769*SIN(2*Q158)-668*SIN(R158)-412*SIN(2*T158)-212*SIN(2*Q158-2*S158)-206*SIN(Q158+R158-2*S158)+192*SIN(Q158+2*S158)-165*SIN(R158-2*S158)-125*SIN(S158)-110*SIN(Q158+R158)+148*SIN(Q158-R158)-55*SIN(2*T158-2*S158)</f>
        <v>-12945.9009916194</v>
      </c>
      <c r="Q158" s="18" t="n">
        <f aca="false">2*PI()*(0.374897+1325.55241*M158 - INT(0.374897+1325.55241*M158))</f>
        <v>3.84363791813908</v>
      </c>
      <c r="R158" s="26" t="n">
        <f aca="false">2*PI()*(0.99312619+99.99735956*M158 - 0.00000044*M158^2 - INT(0.99312619+99.99735956*M158- 0.00000044*M158^2))</f>
        <v>4.98473666567847</v>
      </c>
      <c r="S158" s="26" t="n">
        <f aca="false">2*PI()*(0.827361+1236.853086*M158 - INT(0.827361+1236.853086*M158))</f>
        <v>5.27802372496971</v>
      </c>
      <c r="T158" s="26" t="n">
        <f aca="false">2*PI()*(0.259086+1342.227825*M158 - INT(0.259086+1342.227825*M158))</f>
        <v>1.87273202284072</v>
      </c>
      <c r="U158" s="26" t="n">
        <f aca="false">T158+(P158+412*SIN(2*T158)+541*SIN(R158))/206264.8062</f>
        <v>1.80630814539249</v>
      </c>
      <c r="V158" s="26" t="n">
        <f aca="false">T158-2*S158</f>
        <v>-8.68331542709869</v>
      </c>
      <c r="W158" s="25" t="n">
        <f aca="false">-526*SIN(V158)+44*SIN(Q158+V158)-31*SIN(-Q158+V158)-23*SIN(R158+V158)+11*SIN(-R158+V158)-25*SIN(-2*Q158+T158)+21*SIN(-Q158+T158)</f>
        <v>345.06216625067</v>
      </c>
      <c r="X158" s="26" t="n">
        <f aca="false">2*PI()*(O158+P158/1296000-INT(O158+P158/1296000))</f>
        <v>2.57872035462563</v>
      </c>
      <c r="Y158" s="26" t="n">
        <f aca="false">(18520*SIN(U158)+W158)/206264.8062</f>
        <v>0.0889818222317212</v>
      </c>
      <c r="Z158" s="26" t="n">
        <f aca="false">Y158*180/PI()</f>
        <v>5.09828286726098</v>
      </c>
      <c r="AA158" s="26" t="n">
        <f aca="false">COS(Y158)*COS(X158)</f>
        <v>-0.842379971832231</v>
      </c>
      <c r="AB158" s="26" t="n">
        <f aca="false">COS(Y158)*SIN(X158)</f>
        <v>0.531506437702252</v>
      </c>
      <c r="AC158" s="26" t="n">
        <f aca="false">SIN(Y158)</f>
        <v>0.0888644458543001</v>
      </c>
      <c r="AD158" s="26" t="n">
        <f aca="false">COS($A$4*(23.4393-46.815*M158/3600))*AB158-SIN($A$4*(23.4393-46.815*M158/3600))*AC158</f>
        <v>0.45231449018089</v>
      </c>
      <c r="AE158" s="26" t="n">
        <f aca="false">SIN($A$4*(23.4393-46.815*M158/3600))*AB158+COS($A$4*(23.4393-46.815*M158/3600))*AC158</f>
        <v>0.292929317461279</v>
      </c>
      <c r="AF158" s="26" t="n">
        <f aca="false">SQRT(1-AE158*AE158)</f>
        <v>0.956134098843708</v>
      </c>
      <c r="AG158" s="10" t="n">
        <f aca="false">ATAN(AE158/AF158)/$A$4</f>
        <v>17.0334116361792</v>
      </c>
      <c r="AH158" s="26" t="n">
        <f aca="false">IF(24*ATAN(AD158/(AA158+AF158))/PI()&gt;0,24*ATAN(AD158/(AA158+AF158))/PI(),24*ATAN(AD158/(AA158+AF158))/PI()+24)</f>
        <v>10.1177667302036</v>
      </c>
      <c r="AI158" s="10" t="n">
        <f aca="false">IF(N158-15*AH158&gt;0,N158-15*AH158,360+N158-15*AH158)</f>
        <v>57.1654040474162</v>
      </c>
      <c r="AJ158" s="18" t="n">
        <f aca="false">0.950724+0.051818*COS(Q158)+0.009531*COS(2*S158-Q158)+0.007843*COS(2*S158)+0.002824*COS(2*Q158)+0.000857*COS(2*S158+Q158)+0.000533*COS(2*S158-R158)+0.000401*COS(2*S158-R158-Q158)+0.00032*COS(Q158-R158)-0.000271*COS(S158)</f>
        <v>0.917064081952226</v>
      </c>
      <c r="AK158" s="50" t="n">
        <f aca="false">ASIN(COS($A$4*$G$2)*COS($A$4*AG158)*COS($A$4*AI158)+SIN($A$4*$G$2)*SIN($A$4*AG158))/$A$4</f>
        <v>21.2698886296523</v>
      </c>
      <c r="AL158" s="18" t="n">
        <f aca="false">ASIN((0.9983271+0.0016764*COS($A$4*2*$G$2))*COS($A$4*AK158)*SIN($A$4*AJ158))/$A$4</f>
        <v>0.854156226731491</v>
      </c>
      <c r="AM158" s="18" t="n">
        <f aca="false">AK158-AL158</f>
        <v>20.4157324029208</v>
      </c>
      <c r="AN158" s="10" t="n">
        <f aca="false"> IF(280.4664567 + 360007.6982779*M158/10 + 0.03032028*M158^2/100 + M158^3/49931000&lt;0,MOD(280.4664567 + 360007.6982779*M158/10 + 0.03032028*M158^2/100 + M158^3/49931000+360,360),MOD(280.4664567 + 360007.6982779*M158/10 + 0.03032028*M158^2/100 + M158^3/49931000,360))</f>
        <v>208.937687407219</v>
      </c>
      <c r="AO158" s="27" t="n">
        <f aca="false"> AN158 + (1.9146 - 0.004817*M158 - 0.000014*M158^2)*SIN(R158)+ (0.019993 - 0.000101*M158)*SIN(2*R158)+ 0.00029*SIN(3*R158)</f>
        <v>207.084565071816</v>
      </c>
      <c r="AP158" s="18" t="n">
        <f aca="false">ACOS(COS(X158-$A$4*AO158)*COS(Y158))/$A$4</f>
        <v>59.46908431088</v>
      </c>
      <c r="AQ158" s="25" t="n">
        <f aca="false">180 - AP158 -0.1468*(1-0.0549*SIN(R158))*SIN($A$4*AP158)/(1-0.0167*SIN($A$4*AO158))</f>
        <v>120.398787328256</v>
      </c>
      <c r="AR158" s="25" t="n">
        <f aca="false">SIN($A$4*AI158)</f>
        <v>0.840239359672777</v>
      </c>
      <c r="AS158" s="25" t="n">
        <f aca="false">COS($A$4*AI158)*SIN($A$4*$G$2) - TAN($A$4*AG158)*COS($A$4*$G$2)</f>
        <v>-0.493874176397766</v>
      </c>
      <c r="AT158" s="25" t="n">
        <f aca="false">IF(OR(AND(AR158*AS158&gt;0), AND(AR158&lt;0,AS158&gt;0)), MOD(ATAN2(AS158,AR158)/$A$4+360,360),  ATAN2(AS158,AR158)/$A$4)</f>
        <v>120.446073767158</v>
      </c>
      <c r="AU158" s="29" t="n">
        <f aca="false">(1+SIN($A$4*H158)*SIN($A$4*AJ158))*120*ASIN(0.272481*SIN($A$4*AJ158))/$A$4</f>
        <v>30.1521255257815</v>
      </c>
      <c r="AV158" s="10" t="n">
        <f aca="false">COS(X158)</f>
        <v>-0.845725892577385</v>
      </c>
      <c r="AW158" s="10" t="n">
        <f aca="false">SIN(X158)</f>
        <v>0.53361757338396</v>
      </c>
      <c r="AX158" s="30" t="n">
        <f aca="false"> 385000.56 + (-20905355*COS(Q158) - 3699111*COS(2*S158-Q158) - 2955968*COS(2*S158) - 569925*COS(2*Q158) + (1-0.002516*M158)*48888*COS(R158) - 3149*COS(2*T158)  +246158*COS(2*S158-2*Q158) -(1-0.002516*M158)*152138*COS(2*S158-R158-Q158) -170733*COS(2*S158+Q158) -(1-0.002516*M158)*204586*COS(2*S158-R158) -(1-0.002516*M158)*129620*COS(R158-Q158)  + 108743*COS(S158) +(1-0.002516*M158)*104755*COS(R158+Q158) +10321*COS(2*S158-2*T158) +79661*COS(Q158-2*T158) -34782*COS(4*S158-Q158) -23210*COS(3*Q158)  -21636*COS(4*S158-2*Q158) +(1-0.002516*M158)*24208*COS(2*S158+R158-Q158) +(1-0.002516*M158)*30824*COS(2*S158+R158) -8379*COS(S158-Q158) -(1-0.002516*M158)*16675*COS(S158+R158)  -(1-0.002516*M158)*12831*COS(2*S158-R158+Q158) -10445*COS(2*S158+2*Q158) -11650*COS(4*S158) +14403*COS(2*S158-3*Q158) -(1-0.002516*M158)*7003*COS(R158-2*Q158)  + (1-0.002516*M158)*10056*COS(2*S158-R158-2*Q158) +6322*COS(S158+Q158) -(1-0.002516*M158)*(1-0.002516*M158)*9884*COS(2*S158-2*R158) +(1-0.002516*M158)*5751*COS(R158+2*Q158) -(1-0.002516*M158)*(1-0.002516*M158)*4950*COS(2*S158-2*R158-Q158)  +4130*COS(2*S158+Q158-2*T158) -(1-0.002516*M158)*3958*COS(4*S158-R158-Q158) +3258*COS(3*S158-Q158) +(1-0.002516*M158)*2616*COS(2*S158+R158+Q158) -(1-0.002516*M158)*1897*COS(4*S158-R158-2*Q158)  -(1-0.002516*M158)*(1-0.002516*M158)*2117*COS(2*R158-Q158) +(1-0.002516*M158)*(1-0.002516*M158)*2354*COS(2*S158+2*R158-Q158) -1423*COS(4*S158+Q158) -1117*COS(4*Q158) -(1-0.002516*M158)*1571*COS(4*S158-R158)  -1739*COS(S158-2*Q158) -4421*COS(2*Q158-2*T158) +(1-0.002516*M158)*(1-0.002516*M158)*1165*COS(2*R158+Q158) +8752*COS(2*S158-Q158-2*T158))/1000</f>
        <v>398441.293226174</v>
      </c>
      <c r="AY158" s="10" t="n">
        <f aca="false">AY157+1/8</f>
        <v>20.5</v>
      </c>
      <c r="AZ158" s="17" t="n">
        <f aca="false">AZ157+1</f>
        <v>157</v>
      </c>
      <c r="BA158" s="32" t="n">
        <f aca="false">ATAN(0.99664719*TAN($A$4*input!$E$2))</f>
        <v>-0.400219206115995</v>
      </c>
      <c r="BB158" s="32" t="n">
        <f aca="false">COS(BA158)</f>
        <v>0.920975608992155</v>
      </c>
      <c r="BC158" s="32" t="n">
        <f aca="false">0.99664719*SIN(BA158)</f>
        <v>-0.388313912533463</v>
      </c>
      <c r="BD158" s="32" t="n">
        <f aca="false">6378.14/AX158</f>
        <v>0.0160077283866747</v>
      </c>
      <c r="BE158" s="33" t="n">
        <f aca="false">MOD(N158-15*AH158,360)</f>
        <v>57.1654040474162</v>
      </c>
      <c r="BF158" s="27" t="n">
        <f aca="false">COS($A$4*AG158)*SIN($A$4*BE158)</f>
        <v>0.803381502973744</v>
      </c>
      <c r="BG158" s="27" t="n">
        <f aca="false">COS($A$4*AG158)*COS($A$4*BE158)-BB158*BD158</f>
        <v>0.503688150974192</v>
      </c>
      <c r="BH158" s="27" t="n">
        <f aca="false">SIN($A$4*AG158)-BC158*BD158</f>
        <v>0.299145341101882</v>
      </c>
      <c r="BI158" s="46" t="n">
        <f aca="false">SQRT(BF158^2+BG158^2+BH158^2)</f>
        <v>0.994289458787085</v>
      </c>
      <c r="BJ158" s="35" t="n">
        <f aca="false">AX158*BI158</f>
        <v>396165.977800279</v>
      </c>
    </row>
    <row r="159" customFormat="false" ht="15" hidden="false" customHeight="false" outlineLevel="0" collapsed="false">
      <c r="A159" s="20"/>
      <c r="B159" s="20"/>
      <c r="C159" s="15" t="n">
        <f aca="false">MOD(C158+3,24)</f>
        <v>15</v>
      </c>
      <c r="D159" s="17" t="n">
        <v>20</v>
      </c>
      <c r="E159" s="102" t="n">
        <f aca="false">input!$C$2</f>
        <v>10</v>
      </c>
      <c r="F159" s="102" t="n">
        <f aca="false">input!$D$2</f>
        <v>2022</v>
      </c>
      <c r="H159" s="39" t="n">
        <f aca="false">AM159</f>
        <v>-16.9191560083488</v>
      </c>
      <c r="I159" s="48" t="n">
        <f aca="false">H159+1.02/(TAN($A$4*(H159+10.3/(H159+5.11)))*60)</f>
        <v>-16.9721322520454</v>
      </c>
      <c r="J159" s="39" t="n">
        <f aca="false">100*(1+COS($A$4*AQ159))/2</f>
        <v>23.6483605716647</v>
      </c>
      <c r="K159" s="48" t="n">
        <f aca="false">IF(AI159&gt;180,AT159-180,AT159+180)</f>
        <v>281.433673232468</v>
      </c>
      <c r="L159" s="10" t="n">
        <f aca="false">L158+1/8</f>
        <v>2459873.125</v>
      </c>
      <c r="M159" s="49" t="n">
        <f aca="false">(L159-2451545)/36525</f>
        <v>0.228011635865845</v>
      </c>
      <c r="N159" s="15" t="n">
        <f aca="false">MOD(280.46061837+360.98564736629*(L159-2451545)+0.000387933*M159^2-M159^3/38710000+$G$4,360)</f>
        <v>254.055110921618</v>
      </c>
      <c r="O159" s="18" t="n">
        <f aca="false">0.60643382+1336.85522467*M159 - 0.00000313*M159^2 - INT(0.60643382+1336.85522467*M159 - 0.00000313*M159^2)</f>
        <v>0.424980350082365</v>
      </c>
      <c r="P159" s="15" t="n">
        <f aca="false">22640*SIN(Q159)-4586*SIN(Q159-2*S159)+2370*SIN(2*S159)+769*SIN(2*Q159)-668*SIN(R159)-412*SIN(2*T159)-212*SIN(2*Q159-2*S159)-206*SIN(Q159+R159-2*S159)+192*SIN(Q159+2*S159)-165*SIN(R159-2*S159)-125*SIN(S159)-110*SIN(Q159+R159)+148*SIN(Q159-R159)-55*SIN(2*T159-2*S159)</f>
        <v>-13351.720677262</v>
      </c>
      <c r="Q159" s="18" t="n">
        <f aca="false">2*PI()*(0.374897+1325.55241*M159 - INT(0.374897+1325.55241*M159))</f>
        <v>3.87214131111088</v>
      </c>
      <c r="R159" s="26" t="n">
        <f aca="false">2*PI()*(0.99312619+99.99735956*M159 - 0.00000044*M159^2 - INT(0.99312619+99.99735956*M159- 0.00000044*M159^2))</f>
        <v>4.98688691187657</v>
      </c>
      <c r="S159" s="26" t="n">
        <f aca="false">2*PI()*(0.827361+1236.853086*M159 - INT(0.827361+1236.853086*M159))</f>
        <v>5.30461981373463</v>
      </c>
      <c r="T159" s="26" t="n">
        <f aca="false">2*PI()*(0.259086+1342.227825*M159 - INT(0.259086+1342.227825*M159))</f>
        <v>1.90159398775812</v>
      </c>
      <c r="U159" s="26" t="n">
        <f aca="false">T159+(P159+412*SIN(2*T159)+541*SIN(R159))/206264.8062</f>
        <v>1.83311119749093</v>
      </c>
      <c r="V159" s="26" t="n">
        <f aca="false">T159-2*S159</f>
        <v>-8.70764563971114</v>
      </c>
      <c r="W159" s="25" t="n">
        <f aca="false">-526*SIN(V159)+44*SIN(Q159+V159)-31*SIN(-Q159+V159)-23*SIN(R159+V159)+11*SIN(-R159+V159)-25*SIN(-2*Q159+T159)+21*SIN(-Q159+T159)</f>
        <v>337.251312808489</v>
      </c>
      <c r="X159" s="26" t="n">
        <f aca="false">2*PI()*(O159+P159/1296000-INT(O159+P159/1296000))</f>
        <v>2.60549932297065</v>
      </c>
      <c r="Y159" s="26" t="n">
        <f aca="false">(18520*SIN(U159)+W159)/206264.8062</f>
        <v>0.0883511089254879</v>
      </c>
      <c r="Z159" s="26" t="n">
        <f aca="false">Y159*180/PI()</f>
        <v>5.06214565673107</v>
      </c>
      <c r="AA159" s="26" t="n">
        <f aca="false">COS(Y159)*COS(X159)</f>
        <v>-0.85635745673421</v>
      </c>
      <c r="AB159" s="26" t="n">
        <f aca="false">COS(Y159)*SIN(X159)</f>
        <v>0.508789030451223</v>
      </c>
      <c r="AC159" s="26" t="n">
        <f aca="false">SIN(Y159)</f>
        <v>0.088236210187317</v>
      </c>
      <c r="AD159" s="26" t="n">
        <f aca="false">COS($A$4*(23.4393-46.815*M159/3600))*AB159-SIN($A$4*(23.4393-46.815*M159/3600))*AC159</f>
        <v>0.431721078601464</v>
      </c>
      <c r="AE159" s="26" t="n">
        <f aca="false">SIN($A$4*(23.4393-46.815*M159/3600))*AB159+COS($A$4*(23.4393-46.815*M159/3600))*AC159</f>
        <v>0.283317519025747</v>
      </c>
      <c r="AF159" s="26" t="n">
        <f aca="false">SQRT(1-AE159*AE159)</f>
        <v>0.959026164092042</v>
      </c>
      <c r="AG159" s="10" t="n">
        <f aca="false">ATAN(AE159/AF159)/$A$4</f>
        <v>16.4583048205776</v>
      </c>
      <c r="AH159" s="26" t="n">
        <f aca="false">IF(24*ATAN(AD159/(AA159+AF159))/PI()&gt;0,24*ATAN(AD159/(AA159+AF159))/PI(),24*ATAN(AD159/(AA159+AF159))/PI()+24)</f>
        <v>10.2163772029385</v>
      </c>
      <c r="AI159" s="10" t="n">
        <f aca="false">IF(N159-15*AH159&gt;0,N159-15*AH159,360+N159-15*AH159)</f>
        <v>100.80945287754</v>
      </c>
      <c r="AJ159" s="18" t="n">
        <f aca="false">0.950724+0.051818*COS(Q159)+0.009531*COS(2*S159-Q159)+0.007843*COS(2*S159)+0.002824*COS(2*Q159)+0.000857*COS(2*S159+Q159)+0.000533*COS(2*S159-R159)+0.000401*COS(2*S159-R159-Q159)+0.00032*COS(Q159-R159)-0.000271*COS(S159)</f>
        <v>0.918099038595074</v>
      </c>
      <c r="AK159" s="50" t="n">
        <f aca="false">ASIN(COS($A$4*$G$2)*COS($A$4*AG159)*COS($A$4*AI159)+SIN($A$4*$G$2)*SIN($A$4*AG159))/$A$4</f>
        <v>-16.0372387208837</v>
      </c>
      <c r="AL159" s="18" t="n">
        <f aca="false">ASIN((0.9983271+0.0016764*COS($A$4*2*$G$2))*COS($A$4*AK159)*SIN($A$4*AJ159))/$A$4</f>
        <v>0.881917287465108</v>
      </c>
      <c r="AM159" s="18" t="n">
        <f aca="false">AK159-AL159</f>
        <v>-16.9191560083488</v>
      </c>
      <c r="AN159" s="10" t="n">
        <f aca="false"> IF(280.4664567 + 360007.6982779*M159/10 + 0.03032028*M159^2/100 + M159^3/49931000&lt;0,MOD(280.4664567 + 360007.6982779*M159/10 + 0.03032028*M159^2/100 + M159^3/49931000+360,360),MOD(280.4664567 + 360007.6982779*M159/10 + 0.03032028*M159^2/100 + M159^3/49931000,360))</f>
        <v>209.060893327705</v>
      </c>
      <c r="AO159" s="27" t="n">
        <f aca="false"> AN159 + (1.9146 - 0.004817*M159 - 0.000014*M159^2)*SIN(R159)+ (0.019993 - 0.000101*M159)*SIN(2*R159)+ 0.00029*SIN(3*R159)</f>
        <v>207.208807315937</v>
      </c>
      <c r="AP159" s="18" t="n">
        <f aca="false">ACOS(COS(X159-$A$4*AO159)*COS(Y159))/$A$4</f>
        <v>58.0646387153027</v>
      </c>
      <c r="AQ159" s="25" t="n">
        <f aca="false">180 - AP159 -0.1468*(1-0.0549*SIN(R159))*SIN($A$4*AP159)/(1-0.0167*SIN($A$4*AO159))</f>
        <v>121.805190657486</v>
      </c>
      <c r="AR159" s="25" t="n">
        <f aca="false">SIN($A$4*AI159)</f>
        <v>0.982256322471828</v>
      </c>
      <c r="AS159" s="25" t="n">
        <f aca="false">COS($A$4*AI159)*SIN($A$4*$G$2) - TAN($A$4*AG159)*COS($A$4*$G$2)</f>
        <v>-0.198658438726028</v>
      </c>
      <c r="AT159" s="25" t="n">
        <f aca="false">IF(OR(AND(AR159*AS159&gt;0), AND(AR159&lt;0,AS159&gt;0)), MOD(ATAN2(AS159,AR159)/$A$4+360,360),  ATAN2(AS159,AR159)/$A$4)</f>
        <v>101.433673232468</v>
      </c>
      <c r="AU159" s="29" t="n">
        <f aca="false">(1+SIN($A$4*H159)*SIN($A$4*AJ159))*120*ASIN(0.272481*SIN($A$4*AJ159))/$A$4</f>
        <v>29.87857664535</v>
      </c>
      <c r="AV159" s="10" t="n">
        <f aca="false">COS(X159)</f>
        <v>-0.859710690396112</v>
      </c>
      <c r="AW159" s="10" t="n">
        <f aca="false">SIN(X159)</f>
        <v>0.510781292549601</v>
      </c>
      <c r="AX159" s="30" t="n">
        <f aca="false"> 385000.56 + (-20905355*COS(Q159) - 3699111*COS(2*S159-Q159) - 2955968*COS(2*S159) - 569925*COS(2*Q159) + (1-0.002516*M159)*48888*COS(R159) - 3149*COS(2*T159)  +246158*COS(2*S159-2*Q159) -(1-0.002516*M159)*152138*COS(2*S159-R159-Q159) -170733*COS(2*S159+Q159) -(1-0.002516*M159)*204586*COS(2*S159-R159) -(1-0.002516*M159)*129620*COS(R159-Q159)  + 108743*COS(S159) +(1-0.002516*M159)*104755*COS(R159+Q159) +10321*COS(2*S159-2*T159) +79661*COS(Q159-2*T159) -34782*COS(4*S159-Q159) -23210*COS(3*Q159)  -21636*COS(4*S159-2*Q159) +(1-0.002516*M159)*24208*COS(2*S159+R159-Q159) +(1-0.002516*M159)*30824*COS(2*S159+R159) -8379*COS(S159-Q159) -(1-0.002516*M159)*16675*COS(S159+R159)  -(1-0.002516*M159)*12831*COS(2*S159-R159+Q159) -10445*COS(2*S159+2*Q159) -11650*COS(4*S159) +14403*COS(2*S159-3*Q159) -(1-0.002516*M159)*7003*COS(R159-2*Q159)  + (1-0.002516*M159)*10056*COS(2*S159-R159-2*Q159) +6322*COS(S159+Q159) -(1-0.002516*M159)*(1-0.002516*M159)*9884*COS(2*S159-2*R159) +(1-0.002516*M159)*5751*COS(R159+2*Q159) -(1-0.002516*M159)*(1-0.002516*M159)*4950*COS(2*S159-2*R159-Q159)  +4130*COS(2*S159+Q159-2*T159) -(1-0.002516*M159)*3958*COS(4*S159-R159-Q159) +3258*COS(3*S159-Q159) +(1-0.002516*M159)*2616*COS(2*S159+R159+Q159) -(1-0.002516*M159)*1897*COS(4*S159-R159-2*Q159)  -(1-0.002516*M159)*(1-0.002516*M159)*2117*COS(2*R159-Q159) +(1-0.002516*M159)*(1-0.002516*M159)*2354*COS(2*S159+2*R159-Q159) -1423*COS(4*S159+Q159) -1117*COS(4*Q159) -(1-0.002516*M159)*1571*COS(4*S159-R159)  -1739*COS(S159-2*Q159) -4421*COS(2*Q159-2*T159) +(1-0.002516*M159)*(1-0.002516*M159)*1165*COS(2*R159+Q159) +8752*COS(2*S159-Q159-2*T159))/1000</f>
        <v>397981.968093477</v>
      </c>
      <c r="AY159" s="10" t="n">
        <f aca="false">AY158+1/8</f>
        <v>20.625</v>
      </c>
      <c r="AZ159" s="17" t="n">
        <f aca="false">AZ158+1</f>
        <v>158</v>
      </c>
      <c r="BA159" s="32" t="n">
        <f aca="false">ATAN(0.99664719*TAN($A$4*input!$E$2))</f>
        <v>-0.400219206115995</v>
      </c>
      <c r="BB159" s="32" t="n">
        <f aca="false">COS(BA159)</f>
        <v>0.920975608992155</v>
      </c>
      <c r="BC159" s="32" t="n">
        <f aca="false">0.99664719*SIN(BA159)</f>
        <v>-0.388313912533463</v>
      </c>
      <c r="BD159" s="32" t="n">
        <f aca="false">6378.14/AX159</f>
        <v>0.0160262034748819</v>
      </c>
      <c r="BE159" s="33" t="n">
        <f aca="false">MOD(N159-15*AH159,360)</f>
        <v>100.80945287754</v>
      </c>
      <c r="BF159" s="27" t="n">
        <f aca="false">COS($A$4*AG159)*SIN($A$4*BE159)</f>
        <v>0.942009513095313</v>
      </c>
      <c r="BG159" s="27" t="n">
        <f aca="false">COS($A$4*AG159)*COS($A$4*BE159)-BB159*BD159</f>
        <v>-0.194618744645754</v>
      </c>
      <c r="BH159" s="27" t="n">
        <f aca="false">SIN($A$4*AG159)-BC159*BD159</f>
        <v>0.289540716800136</v>
      </c>
      <c r="BI159" s="46" t="n">
        <f aca="false">SQRT(BF159^2+BG159^2+BH159^2)</f>
        <v>1.00453581579488</v>
      </c>
      <c r="BJ159" s="35" t="n">
        <f aca="false">AX159*BI159</f>
        <v>399787.140990434</v>
      </c>
    </row>
    <row r="160" customFormat="false" ht="15" hidden="false" customHeight="false" outlineLevel="0" collapsed="false">
      <c r="A160" s="20"/>
      <c r="B160" s="20"/>
      <c r="C160" s="15" t="n">
        <f aca="false">MOD(C159+3,24)</f>
        <v>18</v>
      </c>
      <c r="D160" s="17" t="n">
        <v>20</v>
      </c>
      <c r="E160" s="102" t="n">
        <f aca="false">input!$C$2</f>
        <v>10</v>
      </c>
      <c r="F160" s="102" t="n">
        <f aca="false">input!$D$2</f>
        <v>2022</v>
      </c>
      <c r="H160" s="39" t="n">
        <f aca="false">AM160</f>
        <v>-56.3399517263074</v>
      </c>
      <c r="I160" s="48" t="n">
        <f aca="false">H160+1.02/(TAN($A$4*(H160+10.3/(H160+5.11)))*60)</f>
        <v>-56.3511862922592</v>
      </c>
      <c r="J160" s="39" t="n">
        <f aca="false">100*(1+COS($A$4*AQ160))/2</f>
        <v>22.6105707980403</v>
      </c>
      <c r="K160" s="48" t="n">
        <f aca="false">IF(AI160&gt;180,AT160-180,AT160+180)</f>
        <v>264.475736077463</v>
      </c>
      <c r="L160" s="10" t="n">
        <f aca="false">L159+1/8</f>
        <v>2459873.25</v>
      </c>
      <c r="M160" s="49" t="n">
        <f aca="false">(L160-2451545)/36525</f>
        <v>0.228015058179329</v>
      </c>
      <c r="N160" s="15" t="n">
        <f aca="false">MOD(280.46061837+360.98564736629*(L160-2451545)+0.000387933*M160^2-M160^3/38710000+$G$4,360)</f>
        <v>299.178316843696</v>
      </c>
      <c r="O160" s="18" t="n">
        <f aca="false">0.60643382+1336.85522467*M160 - 0.00000313*M160^2 - INT(0.60643382+1336.85522467*M160 - 0.00000313*M160^2)</f>
        <v>0.429555487738924</v>
      </c>
      <c r="P160" s="15" t="n">
        <f aca="false">22640*SIN(Q160)-4586*SIN(Q160-2*S160)+2370*SIN(2*S160)+769*SIN(2*Q160)-668*SIN(R160)-412*SIN(2*T160)-212*SIN(2*Q160-2*S160)-206*SIN(Q160+R160-2*S160)+192*SIN(Q160+2*S160)-165*SIN(R160-2*S160)-125*SIN(S160)-110*SIN(Q160+R160)+148*SIN(Q160-R160)-55*SIN(2*T160-2*S160)</f>
        <v>-13744.5845180871</v>
      </c>
      <c r="Q160" s="18" t="n">
        <f aca="false">2*PI()*(0.374897+1325.55241*M160 - INT(0.374897+1325.55241*M160))</f>
        <v>3.90064470408303</v>
      </c>
      <c r="R160" s="26" t="n">
        <f aca="false">2*PI()*(0.99312619+99.99735956*M160 - 0.00000044*M160^2 - INT(0.99312619+99.99735956*M160- 0.00000044*M160^2))</f>
        <v>4.98903715807468</v>
      </c>
      <c r="S160" s="26" t="n">
        <f aca="false">2*PI()*(0.827361+1236.853086*M160 - INT(0.827361+1236.853086*M160))</f>
        <v>5.33121590249955</v>
      </c>
      <c r="T160" s="26" t="n">
        <f aca="false">2*PI()*(0.259086+1342.227825*M160 - INT(0.259086+1342.227825*M160))</f>
        <v>1.93045595267588</v>
      </c>
      <c r="U160" s="26" t="n">
        <f aca="false">T160+(P160+412*SIN(2*T160)+541*SIN(R160))/206264.8062</f>
        <v>1.85998116084726</v>
      </c>
      <c r="V160" s="26" t="n">
        <f aca="false">T160-2*S160</f>
        <v>-8.73197585232322</v>
      </c>
      <c r="W160" s="25" t="n">
        <f aca="false">-526*SIN(V160)+44*SIN(Q160+V160)-31*SIN(-Q160+V160)-23*SIN(R160+V160)+11*SIN(-R160+V160)-25*SIN(-2*Q160+T160)+21*SIN(-Q160+T160)</f>
        <v>329.255515578275</v>
      </c>
      <c r="X160" s="26" t="n">
        <f aca="false">2*PI()*(O160+P160/1296000-INT(O160+P160/1296000))</f>
        <v>2.63234110302422</v>
      </c>
      <c r="Y160" s="26" t="n">
        <f aca="false">(18520*SIN(U160)+W160)/206264.8062</f>
        <v>0.0876554925240015</v>
      </c>
      <c r="Z160" s="26" t="n">
        <f aca="false">Y160*180/PI()</f>
        <v>5.02228977276582</v>
      </c>
      <c r="AA160" s="26" t="n">
        <f aca="false">COS(Y160)*COS(X160)</f>
        <v>-0.869757523733521</v>
      </c>
      <c r="AB160" s="26" t="n">
        <f aca="false">COS(Y160)*SIN(X160)</f>
        <v>0.485652162601412</v>
      </c>
      <c r="AC160" s="26" t="n">
        <f aca="false">SIN(Y160)</f>
        <v>0.0875432856905928</v>
      </c>
      <c r="AD160" s="26" t="n">
        <f aca="false">COS($A$4*(23.4393-46.815*M160/3600))*AB160-SIN($A$4*(23.4393-46.815*M160/3600))*AC160</f>
        <v>0.410768539499923</v>
      </c>
      <c r="AE160" s="26" t="n">
        <f aca="false">SIN($A$4*(23.4393-46.815*M160/3600))*AB160+COS($A$4*(23.4393-46.815*M160/3600))*AC160</f>
        <v>0.273479536466686</v>
      </c>
      <c r="AF160" s="26" t="n">
        <f aca="false">SQRT(1-AE160*AE160)</f>
        <v>0.961877821313064</v>
      </c>
      <c r="AG160" s="10" t="n">
        <f aca="false">ATAN(AE160/AF160)/$A$4</f>
        <v>15.8714249395505</v>
      </c>
      <c r="AH160" s="26" t="n">
        <f aca="false">IF(24*ATAN(AD160/(AA160+AF160))/PI()&gt;0,24*ATAN(AD160/(AA160+AF160))/PI(),24*ATAN(AD160/(AA160+AF160))/PI()+24)</f>
        <v>10.3146400197638</v>
      </c>
      <c r="AI160" s="10" t="n">
        <f aca="false">IF(N160-15*AH160&gt;0,N160-15*AH160,360+N160-15*AH160)</f>
        <v>144.458716547239</v>
      </c>
      <c r="AJ160" s="18" t="n">
        <f aca="false">0.950724+0.051818*COS(Q160)+0.009531*COS(2*S160-Q160)+0.007843*COS(2*S160)+0.002824*COS(2*Q160)+0.000857*COS(2*S160+Q160)+0.000533*COS(2*S160-R160)+0.000401*COS(2*S160-R160-Q160)+0.00032*COS(Q160-R160)-0.000271*COS(S160)</f>
        <v>0.919168361599805</v>
      </c>
      <c r="AK160" s="50" t="n">
        <f aca="false">ASIN(COS($A$4*$G$2)*COS($A$4*AG160)*COS($A$4*AI160)+SIN($A$4*$G$2)*SIN($A$4*AG160))/$A$4</f>
        <v>-55.8238972418772</v>
      </c>
      <c r="AL160" s="18" t="n">
        <f aca="false">ASIN((0.9983271+0.0016764*COS($A$4*2*$G$2))*COS($A$4*AK160)*SIN($A$4*AJ160))/$A$4</f>
        <v>0.516054484430148</v>
      </c>
      <c r="AM160" s="18" t="n">
        <f aca="false">AK160-AL160</f>
        <v>-56.3399517263074</v>
      </c>
      <c r="AN160" s="10" t="n">
        <f aca="false"> IF(280.4664567 + 360007.6982779*M160/10 + 0.03032028*M160^2/100 + M160^3/49931000&lt;0,MOD(280.4664567 + 360007.6982779*M160/10 + 0.03032028*M160^2/100 + M160^3/49931000+360,360),MOD(280.4664567 + 360007.6982779*M160/10 + 0.03032028*M160^2/100 + M160^3/49931000,360))</f>
        <v>209.184099248192</v>
      </c>
      <c r="AO160" s="27" t="n">
        <f aca="false"> AN160 + (1.9146 - 0.004817*M160 - 0.000014*M160^2)*SIN(R160)+ (0.019993 - 0.000101*M160)*SIN(2*R160)+ 0.00029*SIN(3*R160)</f>
        <v>207.33305826052</v>
      </c>
      <c r="AP160" s="18" t="n">
        <f aca="false">ACOS(COS(X160-$A$4*AO160)*COS(Y160))/$A$4</f>
        <v>56.6564381399764</v>
      </c>
      <c r="AQ160" s="25" t="n">
        <f aca="false">180 - AP160 -0.1468*(1-0.0549*SIN(R160))*SIN($A$4*AP160)/(1-0.0167*SIN($A$4*AO160))</f>
        <v>123.215432477423</v>
      </c>
      <c r="AR160" s="25" t="n">
        <f aca="false">SIN($A$4*AI160)</f>
        <v>0.581289401346388</v>
      </c>
      <c r="AS160" s="25" t="n">
        <f aca="false">COS($A$4*AI160)*SIN($A$4*$G$2) - TAN($A$4*AG160)*COS($A$4*$G$2)</f>
        <v>0.0562202632299386</v>
      </c>
      <c r="AT160" s="25" t="n">
        <f aca="false">IF(OR(AND(AR160*AS160&gt;0), AND(AR160&lt;0,AS160&gt;0)), MOD(ATAN2(AS160,AR160)/$A$4+360,360),  ATAN2(AS160,AR160)/$A$4)</f>
        <v>84.4757360774626</v>
      </c>
      <c r="AU160" s="29" t="n">
        <f aca="false">(1+SIN($A$4*H160)*SIN($A$4*AJ160))*120*ASIN(0.272481*SIN($A$4*AJ160))/$A$4</f>
        <v>29.6522337222644</v>
      </c>
      <c r="AV160" s="10" t="n">
        <f aca="false">COS(X160)</f>
        <v>-0.873109639150471</v>
      </c>
      <c r="AW160" s="10" t="n">
        <f aca="false">SIN(X160)</f>
        <v>0.487523905078032</v>
      </c>
      <c r="AX160" s="30" t="n">
        <f aca="false"> 385000.56 + (-20905355*COS(Q160) - 3699111*COS(2*S160-Q160) - 2955968*COS(2*S160) - 569925*COS(2*Q160) + (1-0.002516*M160)*48888*COS(R160) - 3149*COS(2*T160)  +246158*COS(2*S160-2*Q160) -(1-0.002516*M160)*152138*COS(2*S160-R160-Q160) -170733*COS(2*S160+Q160) -(1-0.002516*M160)*204586*COS(2*S160-R160) -(1-0.002516*M160)*129620*COS(R160-Q160)  + 108743*COS(S160) +(1-0.002516*M160)*104755*COS(R160+Q160) +10321*COS(2*S160-2*T160) +79661*COS(Q160-2*T160) -34782*COS(4*S160-Q160) -23210*COS(3*Q160)  -21636*COS(4*S160-2*Q160) +(1-0.002516*M160)*24208*COS(2*S160+R160-Q160) +(1-0.002516*M160)*30824*COS(2*S160+R160) -8379*COS(S160-Q160) -(1-0.002516*M160)*16675*COS(S160+R160)  -(1-0.002516*M160)*12831*COS(2*S160-R160+Q160) -10445*COS(2*S160+2*Q160) -11650*COS(4*S160) +14403*COS(2*S160-3*Q160) -(1-0.002516*M160)*7003*COS(R160-2*Q160)  + (1-0.002516*M160)*10056*COS(2*S160-R160-2*Q160) +6322*COS(S160+Q160) -(1-0.002516*M160)*(1-0.002516*M160)*9884*COS(2*S160-2*R160) +(1-0.002516*M160)*5751*COS(R160+2*Q160) -(1-0.002516*M160)*(1-0.002516*M160)*4950*COS(2*S160-2*R160-Q160)  +4130*COS(2*S160+Q160-2*T160) -(1-0.002516*M160)*3958*COS(4*S160-R160-Q160) +3258*COS(3*S160-Q160) +(1-0.002516*M160)*2616*COS(2*S160+R160+Q160) -(1-0.002516*M160)*1897*COS(4*S160-R160-2*Q160)  -(1-0.002516*M160)*(1-0.002516*M160)*2117*COS(2*R160-Q160) +(1-0.002516*M160)*(1-0.002516*M160)*2354*COS(2*S160+2*R160-Q160) -1423*COS(4*S160+Q160) -1117*COS(4*Q160) -(1-0.002516*M160)*1571*COS(4*S160-R160)  -1739*COS(S160-2*Q160) -4421*COS(2*Q160-2*T160) +(1-0.002516*M160)*(1-0.002516*M160)*1165*COS(2*R160+Q160) +8752*COS(2*S160-Q160-2*T160))/1000</f>
        <v>397509.249385844</v>
      </c>
      <c r="AY160" s="10" t="n">
        <f aca="false">AY159+1/8</f>
        <v>20.75</v>
      </c>
      <c r="AZ160" s="17" t="n">
        <f aca="false">AZ159+1</f>
        <v>159</v>
      </c>
      <c r="BA160" s="32" t="n">
        <f aca="false">ATAN(0.99664719*TAN($A$4*input!$E$2))</f>
        <v>-0.400219206115995</v>
      </c>
      <c r="BB160" s="32" t="n">
        <f aca="false">COS(BA160)</f>
        <v>0.920975608992155</v>
      </c>
      <c r="BC160" s="32" t="n">
        <f aca="false">0.99664719*SIN(BA160)</f>
        <v>-0.388313912533463</v>
      </c>
      <c r="BD160" s="32" t="n">
        <f aca="false">6378.14/AX160</f>
        <v>0.0160452618646089</v>
      </c>
      <c r="BE160" s="33" t="n">
        <f aca="false">MOD(N160-15*AH160,360)</f>
        <v>144.458716547239</v>
      </c>
      <c r="BF160" s="27" t="n">
        <f aca="false">COS($A$4*AG160)*SIN($A$4*BE160)</f>
        <v>0.559129382919439</v>
      </c>
      <c r="BG160" s="27" t="n">
        <f aca="false">COS($A$4*AG160)*COS($A$4*BE160)-BB160*BD160</f>
        <v>-0.797454288404011</v>
      </c>
      <c r="BH160" s="27" t="n">
        <f aca="false">SIN($A$4*AG160)-BC160*BD160</f>
        <v>0.279710134878956</v>
      </c>
      <c r="BI160" s="46" t="n">
        <f aca="false">SQRT(BF160^2+BG160^2+BH160^2)</f>
        <v>1.01330980874154</v>
      </c>
      <c r="BJ160" s="35" t="n">
        <f aca="false">AX160*BI160</f>
        <v>402800.021468164</v>
      </c>
    </row>
    <row r="161" customFormat="false" ht="15" hidden="false" customHeight="false" outlineLevel="0" collapsed="false">
      <c r="A161" s="20"/>
      <c r="B161" s="20"/>
      <c r="C161" s="15" t="n">
        <f aca="false">MOD(C160+3,24)</f>
        <v>21</v>
      </c>
      <c r="D161" s="17" t="n">
        <v>20</v>
      </c>
      <c r="E161" s="102" t="n">
        <f aca="false">input!$C$2</f>
        <v>10</v>
      </c>
      <c r="F161" s="102" t="n">
        <f aca="false">input!$D$2</f>
        <v>2022</v>
      </c>
      <c r="H161" s="39" t="n">
        <f aca="false">AM161</f>
        <v>-79.2961128588414</v>
      </c>
      <c r="I161" s="48" t="n">
        <f aca="false">H161+1.02/(TAN($A$4*(H161+10.3/(H161+5.11)))*60)</f>
        <v>-79.2992835896516</v>
      </c>
      <c r="J161" s="39" t="n">
        <f aca="false">100*(1+COS($A$4*AQ161))/2</f>
        <v>21.5865269895923</v>
      </c>
      <c r="K161" s="48" t="n">
        <f aca="false">IF(AI161&gt;180,AT161-180,AT161+180)</f>
        <v>133.827552612548</v>
      </c>
      <c r="L161" s="10" t="n">
        <f aca="false">L160+1/8</f>
        <v>2459873.375</v>
      </c>
      <c r="M161" s="49" t="n">
        <f aca="false">(L161-2451545)/36525</f>
        <v>0.228018480492813</v>
      </c>
      <c r="N161" s="15" t="n">
        <f aca="false">MOD(280.46061837+360.98564736629*(L161-2451545)+0.000387933*M161^2-M161^3/38710000+$G$4,360)</f>
        <v>344.301522764843</v>
      </c>
      <c r="O161" s="18" t="n">
        <f aca="false">0.60643382+1336.85522467*M161 - 0.00000313*M161^2 - INT(0.60643382+1336.85522467*M161 - 0.00000313*M161^2)</f>
        <v>0.434130625395483</v>
      </c>
      <c r="P161" s="15" t="n">
        <f aca="false">22640*SIN(Q161)-4586*SIN(Q161-2*S161)+2370*SIN(2*S161)+769*SIN(2*Q161)-668*SIN(R161)-412*SIN(2*T161)-212*SIN(2*Q161-2*S161)-206*SIN(Q161+R161-2*S161)+192*SIN(Q161+2*S161)-165*SIN(R161-2*S161)-125*SIN(S161)-110*SIN(Q161+R161)+148*SIN(Q161-R161)-55*SIN(2*T161-2*S161)</f>
        <v>-14124.0963360593</v>
      </c>
      <c r="Q161" s="18" t="n">
        <f aca="false">2*PI()*(0.374897+1325.55241*M161 - INT(0.374897+1325.55241*M161))</f>
        <v>3.92914809705519</v>
      </c>
      <c r="R161" s="26" t="n">
        <f aca="false">2*PI()*(0.99312619+99.99735956*M161 - 0.00000044*M161^2 - INT(0.99312619+99.99735956*M161- 0.00000044*M161^2))</f>
        <v>4.99118740427276</v>
      </c>
      <c r="S161" s="26" t="n">
        <f aca="false">2*PI()*(0.827361+1236.853086*M161 - INT(0.827361+1236.853086*M161))</f>
        <v>5.35781199126447</v>
      </c>
      <c r="T161" s="26" t="n">
        <f aca="false">2*PI()*(0.259086+1342.227825*M161 - INT(0.259086+1342.227825*M161))</f>
        <v>1.95931791759364</v>
      </c>
      <c r="U161" s="26" t="n">
        <f aca="false">T161+(P161+412*SIN(2*T161)+541*SIN(R161))/206264.8062</f>
        <v>1.88692025224487</v>
      </c>
      <c r="V161" s="26" t="n">
        <f aca="false">T161-2*S161</f>
        <v>-8.75630606493531</v>
      </c>
      <c r="W161" s="25" t="n">
        <f aca="false">-526*SIN(V161)+44*SIN(Q161+V161)-31*SIN(-Q161+V161)-23*SIN(R161+V161)+11*SIN(-R161+V161)-25*SIN(-2*Q161+T161)+21*SIN(-Q161+T161)</f>
        <v>321.075763139651</v>
      </c>
      <c r="X161" s="26" t="n">
        <f aca="false">2*PI()*(O161+P161/1296000-INT(O161+P161/1296000))</f>
        <v>2.65924761551128</v>
      </c>
      <c r="Y161" s="26" t="n">
        <f aca="false">(18520*SIN(U161)+W161)/206264.8062</f>
        <v>0.0868949242956363</v>
      </c>
      <c r="Z161" s="26" t="n">
        <f aca="false">Y161*180/PI()</f>
        <v>4.97871242324876</v>
      </c>
      <c r="AA161" s="26" t="n">
        <f aca="false">COS(Y161)*COS(X161)</f>
        <v>-0.882567068008809</v>
      </c>
      <c r="AB161" s="26" t="n">
        <f aca="false">COS(Y161)*SIN(X161)</f>
        <v>0.462107809901955</v>
      </c>
      <c r="AC161" s="26" t="n">
        <f aca="false">SIN(Y161)</f>
        <v>0.0867856122519906</v>
      </c>
      <c r="AD161" s="26" t="n">
        <f aca="false">COS($A$4*(23.4393-46.815*M161/3600))*AB161-SIN($A$4*(23.4393-46.815*M161/3600))*AC161</f>
        <v>0.38946788456492</v>
      </c>
      <c r="AE161" s="26" t="n">
        <f aca="false">SIN($A$4*(23.4393-46.815*M161/3600))*AB161+COS($A$4*(23.4393-46.815*M161/3600))*AC161</f>
        <v>0.263420077744389</v>
      </c>
      <c r="AF161" s="26" t="n">
        <f aca="false">SQRT(1-AE161*AE161)</f>
        <v>0.964681223327758</v>
      </c>
      <c r="AG161" s="10" t="n">
        <f aca="false">ATAN(AE161/AF161)/$A$4</f>
        <v>15.2730946753191</v>
      </c>
      <c r="AH161" s="26" t="n">
        <f aca="false">IF(24*ATAN(AD161/(AA161+AF161))/PI()&gt;0,24*ATAN(AD161/(AA161+AF161))/PI(),24*ATAN(AD161/(AA161+AF161))/PI()+24)</f>
        <v>10.4125746120922</v>
      </c>
      <c r="AI161" s="10" t="n">
        <f aca="false">IF(N161-15*AH161&gt;0,N161-15*AH161,360+N161-15*AH161)</f>
        <v>188.11290358346</v>
      </c>
      <c r="AJ161" s="18" t="n">
        <f aca="false">0.950724+0.051818*COS(Q161)+0.009531*COS(2*S161-Q161)+0.007843*COS(2*S161)+0.002824*COS(2*Q161)+0.000857*COS(2*S161+Q161)+0.000533*COS(2*S161-R161)+0.000401*COS(2*S161-R161-Q161)+0.00032*COS(Q161-R161)-0.000271*COS(S161)</f>
        <v>0.920271113078172</v>
      </c>
      <c r="AK161" s="50" t="n">
        <f aca="false">ASIN(COS($A$4*$G$2)*COS($A$4*AG161)*COS($A$4*AI161)+SIN($A$4*$G$2)*SIN($A$4*AG161))/$A$4</f>
        <v>-79.1225448594326</v>
      </c>
      <c r="AL161" s="18" t="n">
        <f aca="false">ASIN((0.9983271+0.0016764*COS($A$4*2*$G$2))*COS($A$4*AK161)*SIN($A$4*AJ161))/$A$4</f>
        <v>0.173567999408778</v>
      </c>
      <c r="AM161" s="18" t="n">
        <f aca="false">AK161-AL161</f>
        <v>-79.2961128588414</v>
      </c>
      <c r="AN161" s="10" t="n">
        <f aca="false"> IF(280.4664567 + 360007.6982779*M161/10 + 0.03032028*M161^2/100 + M161^3/49931000&lt;0,MOD(280.4664567 + 360007.6982779*M161/10 + 0.03032028*M161^2/100 + M161^3/49931000+360,360),MOD(280.4664567 + 360007.6982779*M161/10 + 0.03032028*M161^2/100 + M161^3/49931000,360))</f>
        <v>209.307305168679</v>
      </c>
      <c r="AO161" s="27" t="n">
        <f aca="false"> AN161 + (1.9146 - 0.004817*M161 - 0.000014*M161^2)*SIN(R161)+ (0.019993 - 0.000101*M161)*SIN(2*R161)+ 0.00029*SIN(3*R161)</f>
        <v>207.4573179018</v>
      </c>
      <c r="AP161" s="18" t="n">
        <f aca="false">ACOS(COS(X161-$A$4*AO161)*COS(Y161))/$A$4</f>
        <v>55.2443570408837</v>
      </c>
      <c r="AQ161" s="25" t="n">
        <f aca="false">180 - AP161 -0.1468*(1-0.0549*SIN(R161))*SIN($A$4*AP161)/(1-0.0167*SIN($A$4*AO161))</f>
        <v>124.629637902666</v>
      </c>
      <c r="AR161" s="25" t="n">
        <f aca="false">SIN($A$4*AI161)</f>
        <v>-0.141124191606949</v>
      </c>
      <c r="AS161" s="25" t="n">
        <f aca="false">COS($A$4*AI161)*SIN($A$4*$G$2) - TAN($A$4*AG161)*COS($A$4*$G$2)</f>
        <v>0.135463567572808</v>
      </c>
      <c r="AT161" s="25" t="n">
        <f aca="false">IF(OR(AND(AR161*AS161&gt;0), AND(AR161&lt;0,AS161&gt;0)), MOD(ATAN2(AS161,AR161)/$A$4+360,360),  ATAN2(AS161,AR161)/$A$4)</f>
        <v>313.827552612548</v>
      </c>
      <c r="AU161" s="29" t="n">
        <f aca="false">(1+SIN($A$4*H161)*SIN($A$4*AJ161))*120*ASIN(0.272481*SIN($A$4*AJ161))/$A$4</f>
        <v>29.6147075637605</v>
      </c>
      <c r="AV161" s="10" t="n">
        <f aca="false">COS(X161)</f>
        <v>-0.885909595139564</v>
      </c>
      <c r="AW161" s="10" t="n">
        <f aca="false">SIN(X161)</f>
        <v>0.46385794079616</v>
      </c>
      <c r="AX161" s="30" t="n">
        <f aca="false"> 385000.56 + (-20905355*COS(Q161) - 3699111*COS(2*S161-Q161) - 2955968*COS(2*S161) - 569925*COS(2*Q161) + (1-0.002516*M161)*48888*COS(R161) - 3149*COS(2*T161)  +246158*COS(2*S161-2*Q161) -(1-0.002516*M161)*152138*COS(2*S161-R161-Q161) -170733*COS(2*S161+Q161) -(1-0.002516*M161)*204586*COS(2*S161-R161) -(1-0.002516*M161)*129620*COS(R161-Q161)  + 108743*COS(S161) +(1-0.002516*M161)*104755*COS(R161+Q161) +10321*COS(2*S161-2*T161) +79661*COS(Q161-2*T161) -34782*COS(4*S161-Q161) -23210*COS(3*Q161)  -21636*COS(4*S161-2*Q161) +(1-0.002516*M161)*24208*COS(2*S161+R161-Q161) +(1-0.002516*M161)*30824*COS(2*S161+R161) -8379*COS(S161-Q161) -(1-0.002516*M161)*16675*COS(S161+R161)  -(1-0.002516*M161)*12831*COS(2*S161-R161+Q161) -10445*COS(2*S161+2*Q161) -11650*COS(4*S161) +14403*COS(2*S161-3*Q161) -(1-0.002516*M161)*7003*COS(R161-2*Q161)  + (1-0.002516*M161)*10056*COS(2*S161-R161-2*Q161) +6322*COS(S161+Q161) -(1-0.002516*M161)*(1-0.002516*M161)*9884*COS(2*S161-2*R161) +(1-0.002516*M161)*5751*COS(R161+2*Q161) -(1-0.002516*M161)*(1-0.002516*M161)*4950*COS(2*S161-2*R161-Q161)  +4130*COS(2*S161+Q161-2*T161) -(1-0.002516*M161)*3958*COS(4*S161-R161-Q161) +3258*COS(3*S161-Q161) +(1-0.002516*M161)*2616*COS(2*S161+R161+Q161) -(1-0.002516*M161)*1897*COS(4*S161-R161-2*Q161)  -(1-0.002516*M161)*(1-0.002516*M161)*2117*COS(2*R161-Q161) +(1-0.002516*M161)*(1-0.002516*M161)*2354*COS(2*S161+2*R161-Q161) -1423*COS(4*S161+Q161) -1117*COS(4*Q161) -(1-0.002516*M161)*1571*COS(4*S161-R161)  -1739*COS(S161-2*Q161) -4421*COS(2*Q161-2*T161) +(1-0.002516*M161)*(1-0.002516*M161)*1165*COS(2*R161+Q161) +8752*COS(2*S161-Q161-2*T161))/1000</f>
        <v>397023.706309296</v>
      </c>
      <c r="AY161" s="10" t="n">
        <f aca="false">AY160+1/8</f>
        <v>20.875</v>
      </c>
      <c r="AZ161" s="17" t="n">
        <f aca="false">AZ160+1</f>
        <v>160</v>
      </c>
      <c r="BA161" s="32" t="n">
        <f aca="false">ATAN(0.99664719*TAN($A$4*input!$E$2))</f>
        <v>-0.400219206115995</v>
      </c>
      <c r="BB161" s="32" t="n">
        <f aca="false">COS(BA161)</f>
        <v>0.920975608992155</v>
      </c>
      <c r="BC161" s="32" t="n">
        <f aca="false">0.99664719*SIN(BA161)</f>
        <v>-0.388313912533463</v>
      </c>
      <c r="BD161" s="32" t="n">
        <f aca="false">6378.14/AX161</f>
        <v>0.0160648845362176</v>
      </c>
      <c r="BE161" s="33" t="n">
        <f aca="false">MOD(N161-15*AH161,360)</f>
        <v>188.11290358346</v>
      </c>
      <c r="BF161" s="27" t="n">
        <f aca="false">COS($A$4*AG161)*SIN($A$4*BE161)</f>
        <v>-0.136139857800533</v>
      </c>
      <c r="BG161" s="27" t="n">
        <f aca="false">COS($A$4*AG161)*COS($A$4*BE161)-BB161*BD161</f>
        <v>-0.969821964228435</v>
      </c>
      <c r="BH161" s="27" t="n">
        <f aca="false">SIN($A$4*AG161)-BC161*BD161</f>
        <v>0.269658295913046</v>
      </c>
      <c r="BI161" s="46" t="n">
        <f aca="false">SQRT(BF161^2+BG161^2+BH161^2)</f>
        <v>1.01577768223986</v>
      </c>
      <c r="BJ161" s="35" t="n">
        <f aca="false">AX161*BI161</f>
        <v>403287.820189134</v>
      </c>
    </row>
    <row r="162" customFormat="false" ht="15" hidden="false" customHeight="false" outlineLevel="0" collapsed="false">
      <c r="A162" s="20"/>
      <c r="B162" s="20"/>
      <c r="C162" s="15" t="n">
        <f aca="false">MOD(C161+3,24)</f>
        <v>0</v>
      </c>
      <c r="D162" s="36" t="n">
        <v>21</v>
      </c>
      <c r="E162" s="102" t="n">
        <f aca="false">input!$C$2</f>
        <v>10</v>
      </c>
      <c r="F162" s="102" t="n">
        <f aca="false">input!$D$2</f>
        <v>2022</v>
      </c>
      <c r="H162" s="39" t="n">
        <f aca="false">AM162</f>
        <v>-41.2387182843414</v>
      </c>
      <c r="I162" s="48" t="n">
        <f aca="false">H162+1.02/(TAN($A$4*(H162+10.3/(H162+5.11)))*60)</f>
        <v>-41.2579172064122</v>
      </c>
      <c r="J162" s="39" t="n">
        <f aca="false">100*(1+COS($A$4*AQ162))/2</f>
        <v>20.5769096964736</v>
      </c>
      <c r="K162" s="48" t="n">
        <f aca="false">IF(AI162&gt;180,AT162-180,AT162+180)</f>
        <v>90.066908842871</v>
      </c>
      <c r="L162" s="10" t="n">
        <f aca="false">L161+1/8</f>
        <v>2459873.5</v>
      </c>
      <c r="M162" s="49" t="n">
        <f aca="false">(L162-2451545)/36525</f>
        <v>0.228021902806297</v>
      </c>
      <c r="N162" s="15" t="n">
        <f aca="false">MOD(280.46061837+360.98564736629*(L162-2451545)+0.000387933*M162^2-M162^3/38710000+$G$4,360)</f>
        <v>29.42472868599</v>
      </c>
      <c r="O162" s="18" t="n">
        <f aca="false">0.60643382+1336.85522467*M162 - 0.00000313*M162^2 - INT(0.60643382+1336.85522467*M162 - 0.00000313*M162^2)</f>
        <v>0.438705763051985</v>
      </c>
      <c r="P162" s="15" t="n">
        <f aca="false">22640*SIN(Q162)-4586*SIN(Q162-2*S162)+2370*SIN(2*S162)+769*SIN(2*Q162)-668*SIN(R162)-412*SIN(2*T162)-212*SIN(2*Q162-2*S162)-206*SIN(Q162+R162-2*S162)+192*SIN(Q162+2*S162)-165*SIN(R162-2*S162)-125*SIN(S162)-110*SIN(Q162+R162)+148*SIN(Q162-R162)-55*SIN(2*T162-2*S162)</f>
        <v>-14489.8691265739</v>
      </c>
      <c r="Q162" s="18" t="n">
        <f aca="false">2*PI()*(0.374897+1325.55241*M162 - INT(0.374897+1325.55241*M162))</f>
        <v>3.95765149002699</v>
      </c>
      <c r="R162" s="26" t="n">
        <f aca="false">2*PI()*(0.99312619+99.99735956*M162 - 0.00000044*M162^2 - INT(0.99312619+99.99735956*M162- 0.00000044*M162^2))</f>
        <v>4.99333765047086</v>
      </c>
      <c r="S162" s="26" t="n">
        <f aca="false">2*PI()*(0.827361+1236.853086*M162 - INT(0.827361+1236.853086*M162))</f>
        <v>5.38440808002904</v>
      </c>
      <c r="T162" s="26" t="n">
        <f aca="false">2*PI()*(0.259086+1342.227825*M162 - INT(0.259086+1342.227825*M162))</f>
        <v>1.98817988251104</v>
      </c>
      <c r="U162" s="26" t="n">
        <f aca="false">T162+(P162+412*SIN(2*T162)+541*SIN(R162))/206264.8062</f>
        <v>1.91393062938956</v>
      </c>
      <c r="V162" s="26" t="n">
        <f aca="false">T162-2*S162</f>
        <v>-8.78063627754704</v>
      </c>
      <c r="W162" s="25" t="n">
        <f aca="false">-526*SIN(V162)+44*SIN(Q162+V162)-31*SIN(-Q162+V162)-23*SIN(R162+V162)+11*SIN(-R162+V162)-25*SIN(-2*Q162+T162)+21*SIN(-Q162+T162)</f>
        <v>312.713163399779</v>
      </c>
      <c r="X162" s="26" t="n">
        <f aca="false">2*PI()*(O162+P162/1296000-INT(O162+P162/1296000))</f>
        <v>2.68622073668274</v>
      </c>
      <c r="Y162" s="26" t="n">
        <f aca="false">(18520*SIN(U162)+W162)/206264.8062</f>
        <v>0.0860693888914709</v>
      </c>
      <c r="Z162" s="26" t="n">
        <f aca="false">Y162*180/PI()</f>
        <v>4.93141272875146</v>
      </c>
      <c r="AA162" s="26" t="n">
        <f aca="false">COS(Y162)*COS(X162)</f>
        <v>-0.894773049496931</v>
      </c>
      <c r="AB162" s="26" t="n">
        <f aca="false">COS(Y162)*SIN(X162)</f>
        <v>0.438168374777248</v>
      </c>
      <c r="AC162" s="26" t="n">
        <f aca="false">SIN(Y162)</f>
        <v>0.0859631621046404</v>
      </c>
      <c r="AD162" s="26" t="n">
        <f aca="false">COS($A$4*(23.4393-46.815*M162/3600))*AB162-SIN($A$4*(23.4393-46.815*M162/3600))*AC162</f>
        <v>0.367830504096099</v>
      </c>
      <c r="AE162" s="26" t="n">
        <f aca="false">SIN($A$4*(23.4393-46.815*M162/3600))*AB162+COS($A$4*(23.4393-46.815*M162/3600))*AC162</f>
        <v>0.253144050197458</v>
      </c>
      <c r="AF162" s="26" t="n">
        <f aca="false">SQRT(1-AE162*AE162)</f>
        <v>0.967428596770649</v>
      </c>
      <c r="AG162" s="10" t="n">
        <f aca="false">ATAN(AE162/AF162)/$A$4</f>
        <v>14.6636391971385</v>
      </c>
      <c r="AH162" s="26" t="n">
        <f aca="false">IF(24*ATAN(AD162/(AA162+AF162))/PI()&gt;0,24*ATAN(AD162/(AA162+AF162))/PI(),24*ATAN(AD162/(AA162+AF162))/PI()+24)</f>
        <v>10.5102014770137</v>
      </c>
      <c r="AI162" s="10" t="n">
        <f aca="false">IF(N162-15*AH162&gt;0,N162-15*AH162,360+N162-15*AH162)</f>
        <v>231.771706530784</v>
      </c>
      <c r="AJ162" s="18" t="n">
        <f aca="false">0.950724+0.051818*COS(Q162)+0.009531*COS(2*S162-Q162)+0.007843*COS(2*S162)+0.002824*COS(2*Q162)+0.000857*COS(2*S162+Q162)+0.000533*COS(2*S162-R162)+0.000401*COS(2*S162-R162-Q162)+0.00032*COS(Q162-R162)-0.000271*COS(S162)</f>
        <v>0.921406301703644</v>
      </c>
      <c r="AK162" s="50" t="n">
        <f aca="false">ASIN(COS($A$4*$G$2)*COS($A$4*AG162)*COS($A$4*AI162)+SIN($A$4*$G$2)*SIN($A$4*AG162))/$A$4</f>
        <v>-40.5388500981547</v>
      </c>
      <c r="AL162" s="18" t="n">
        <f aca="false">ASIN((0.9983271+0.0016764*COS($A$4*2*$G$2))*COS($A$4*AK162)*SIN($A$4*AJ162))/$A$4</f>
        <v>0.699868186186758</v>
      </c>
      <c r="AM162" s="18" t="n">
        <f aca="false">AK162-AL162</f>
        <v>-41.2387182843414</v>
      </c>
      <c r="AN162" s="10" t="n">
        <f aca="false"> IF(280.4664567 + 360007.6982779*M162/10 + 0.03032028*M162^2/100 + M162^3/49931000&lt;0,MOD(280.4664567 + 360007.6982779*M162/10 + 0.03032028*M162^2/100 + M162^3/49931000+360,360),MOD(280.4664567 + 360007.6982779*M162/10 + 0.03032028*M162^2/100 + M162^3/49931000,360))</f>
        <v>209.430511089164</v>
      </c>
      <c r="AO162" s="27" t="n">
        <f aca="false"> AN162 + (1.9146 - 0.004817*M162 - 0.000014*M162^2)*SIN(R162)+ (0.019993 - 0.000101*M162)*SIN(2*R162)+ 0.00029*SIN(3*R162)</f>
        <v>207.581586235967</v>
      </c>
      <c r="AP162" s="18" t="n">
        <f aca="false">ACOS(COS(X162-$A$4*AO162)*COS(Y162))/$A$4</f>
        <v>53.8282727697054</v>
      </c>
      <c r="AQ162" s="25" t="n">
        <f aca="false">180 - AP162 -0.1468*(1-0.0549*SIN(R162))*SIN($A$4*AP162)/(1-0.0167*SIN($A$4*AO162))</f>
        <v>126.047929109189</v>
      </c>
      <c r="AR162" s="25" t="n">
        <f aca="false">SIN($A$4*AI162)</f>
        <v>-0.78555141852754</v>
      </c>
      <c r="AS162" s="25" t="n">
        <f aca="false">COS($A$4*AI162)*SIN($A$4*$G$2) - TAN($A$4*AG162)*COS($A$4*$G$2)</f>
        <v>0.00091735134364776</v>
      </c>
      <c r="AT162" s="25" t="n">
        <f aca="false">IF(OR(AND(AR162*AS162&gt;0), AND(AR162&lt;0,AS162&gt;0)), MOD(ATAN2(AS162,AR162)/$A$4+360,360),  ATAN2(AS162,AR162)/$A$4)</f>
        <v>270.066908842871</v>
      </c>
      <c r="AU162" s="29" t="n">
        <f aca="false">(1+SIN($A$4*H162)*SIN($A$4*AJ162))*120*ASIN(0.272481*SIN($A$4*AJ162))/$A$4</f>
        <v>29.8073257665276</v>
      </c>
      <c r="AV162" s="10" t="n">
        <f aca="false">COS(X162)</f>
        <v>-0.8980975225931</v>
      </c>
      <c r="AW162" s="10" t="n">
        <f aca="false">SIN(X162)</f>
        <v>0.439796361867782</v>
      </c>
      <c r="AX162" s="30" t="n">
        <f aca="false"> 385000.56 + (-20905355*COS(Q162) - 3699111*COS(2*S162-Q162) - 2955968*COS(2*S162) - 569925*COS(2*Q162) + (1-0.002516*M162)*48888*COS(R162) - 3149*COS(2*T162)  +246158*COS(2*S162-2*Q162) -(1-0.002516*M162)*152138*COS(2*S162-R162-Q162) -170733*COS(2*S162+Q162) -(1-0.002516*M162)*204586*COS(2*S162-R162) -(1-0.002516*M162)*129620*COS(R162-Q162)  + 108743*COS(S162) +(1-0.002516*M162)*104755*COS(R162+Q162) +10321*COS(2*S162-2*T162) +79661*COS(Q162-2*T162) -34782*COS(4*S162-Q162) -23210*COS(3*Q162)  -21636*COS(4*S162-2*Q162) +(1-0.002516*M162)*24208*COS(2*S162+R162-Q162) +(1-0.002516*M162)*30824*COS(2*S162+R162) -8379*COS(S162-Q162) -(1-0.002516*M162)*16675*COS(S162+R162)  -(1-0.002516*M162)*12831*COS(2*S162-R162+Q162) -10445*COS(2*S162+2*Q162) -11650*COS(4*S162) +14403*COS(2*S162-3*Q162) -(1-0.002516*M162)*7003*COS(R162-2*Q162)  + (1-0.002516*M162)*10056*COS(2*S162-R162-2*Q162) +6322*COS(S162+Q162) -(1-0.002516*M162)*(1-0.002516*M162)*9884*COS(2*S162-2*R162) +(1-0.002516*M162)*5751*COS(R162+2*Q162) -(1-0.002516*M162)*(1-0.002516*M162)*4950*COS(2*S162-2*R162-Q162)  +4130*COS(2*S162+Q162-2*T162) -(1-0.002516*M162)*3958*COS(4*S162-R162-Q162) +3258*COS(3*S162-Q162) +(1-0.002516*M162)*2616*COS(2*S162+R162+Q162) -(1-0.002516*M162)*1897*COS(4*S162-R162-2*Q162)  -(1-0.002516*M162)*(1-0.002516*M162)*2117*COS(2*R162-Q162) +(1-0.002516*M162)*(1-0.002516*M162)*2354*COS(2*S162+2*R162-Q162) -1423*COS(4*S162+Q162) -1117*COS(4*Q162) -(1-0.002516*M162)*1571*COS(4*S162-R162)  -1739*COS(S162-2*Q162) -4421*COS(2*Q162-2*T162) +(1-0.002516*M162)*(1-0.002516*M162)*1165*COS(2*R162+Q162) +8752*COS(2*S162-Q162-2*T162))/1000</f>
        <v>396525.925102546</v>
      </c>
      <c r="AY162" s="10" t="n">
        <f aca="false">AY161+1/8</f>
        <v>21</v>
      </c>
      <c r="AZ162" s="17" t="n">
        <f aca="false">AZ161+1</f>
        <v>161</v>
      </c>
      <c r="BA162" s="32" t="n">
        <f aca="false">ATAN(0.99664719*TAN($A$4*input!$E$2))</f>
        <v>-0.400219206115995</v>
      </c>
      <c r="BB162" s="32" t="n">
        <f aca="false">COS(BA162)</f>
        <v>0.920975608992155</v>
      </c>
      <c r="BC162" s="32" t="n">
        <f aca="false">0.99664719*SIN(BA162)</f>
        <v>-0.388313912533463</v>
      </c>
      <c r="BD162" s="32" t="n">
        <f aca="false">6378.14/AX162</f>
        <v>0.016085051685714</v>
      </c>
      <c r="BE162" s="33" t="n">
        <f aca="false">MOD(N162-15*AH162,360)</f>
        <v>231.771706530784</v>
      </c>
      <c r="BF162" s="27" t="n">
        <f aca="false">COS($A$4*AG162)*SIN($A$4*BE162)</f>
        <v>-0.759964906517291</v>
      </c>
      <c r="BG162" s="27" t="n">
        <f aca="false">COS($A$4*AG162)*COS($A$4*BE162)-BB162*BD162</f>
        <v>-0.613455260856954</v>
      </c>
      <c r="BH162" s="27" t="n">
        <f aca="false">SIN($A$4*AG162)-BC162*BD162</f>
        <v>0.259390099550841</v>
      </c>
      <c r="BI162" s="46" t="n">
        <f aca="false">SQRT(BF162^2+BG162^2+BH162^2)</f>
        <v>1.0105232505766</v>
      </c>
      <c r="BJ162" s="35" t="n">
        <f aca="false">AX162*BI162</f>
        <v>400698.66677252</v>
      </c>
    </row>
    <row r="163" customFormat="false" ht="15" hidden="false" customHeight="false" outlineLevel="0" collapsed="false">
      <c r="A163" s="20"/>
      <c r="B163" s="20"/>
      <c r="C163" s="15" t="n">
        <f aca="false">MOD(C162+3,24)</f>
        <v>3</v>
      </c>
      <c r="D163" s="17" t="n">
        <v>21</v>
      </c>
      <c r="E163" s="102" t="n">
        <f aca="false">input!$C$2</f>
        <v>10</v>
      </c>
      <c r="F163" s="102" t="n">
        <f aca="false">input!$D$2</f>
        <v>2022</v>
      </c>
      <c r="H163" s="39" t="n">
        <f aca="false">AM163</f>
        <v>-1.50851132423281</v>
      </c>
      <c r="I163" s="48" t="n">
        <f aca="false">H163+1.02/(TAN($A$4*(H163+10.3/(H163+5.11)))*60)</f>
        <v>-0.78789917260414</v>
      </c>
      <c r="J163" s="39" t="n">
        <f aca="false">100*(1+COS($A$4*AQ163))/2</f>
        <v>19.5824082402184</v>
      </c>
      <c r="K163" s="48" t="n">
        <f aca="false">IF(AI163&gt;180,AT163-180,AT163+180)</f>
        <v>74.9725732716638</v>
      </c>
      <c r="L163" s="10" t="n">
        <f aca="false">L162+1/8</f>
        <v>2459873.625</v>
      </c>
      <c r="M163" s="49" t="n">
        <f aca="false">(L163-2451545)/36525</f>
        <v>0.228025325119781</v>
      </c>
      <c r="N163" s="15" t="n">
        <f aca="false">MOD(280.46061837+360.98564736629*(L163-2451545)+0.000387933*M163^2-M163^3/38710000+$G$4,360)</f>
        <v>74.547934607137</v>
      </c>
      <c r="O163" s="18" t="n">
        <f aca="false">0.60643382+1336.85522467*M163 - 0.00000313*M163^2 - INT(0.60643382+1336.85522467*M163 - 0.00000313*M163^2)</f>
        <v>0.443280900708544</v>
      </c>
      <c r="P163" s="15" t="n">
        <f aca="false">22640*SIN(Q163)-4586*SIN(Q163-2*S163)+2370*SIN(2*S163)+769*SIN(2*Q163)-668*SIN(R163)-412*SIN(2*T163)-212*SIN(2*Q163-2*S163)-206*SIN(Q163+R163-2*S163)+192*SIN(Q163+2*S163)-165*SIN(R163-2*S163)-125*SIN(S163)-110*SIN(Q163+R163)+148*SIN(Q163-R163)-55*SIN(2*T163-2*S163)</f>
        <v>-14841.525689999</v>
      </c>
      <c r="Q163" s="18" t="n">
        <f aca="false">2*PI()*(0.374897+1325.55241*M163 - INT(0.374897+1325.55241*M163))</f>
        <v>3.98615488299878</v>
      </c>
      <c r="R163" s="26" t="n">
        <f aca="false">2*PI()*(0.99312619+99.99735956*M163 - 0.00000044*M163^2 - INT(0.99312619+99.99735956*M163- 0.00000044*M163^2))</f>
        <v>4.99548789666897</v>
      </c>
      <c r="S163" s="26" t="n">
        <f aca="false">2*PI()*(0.827361+1236.853086*M163 - INT(0.827361+1236.853086*M163))</f>
        <v>5.41100416879396</v>
      </c>
      <c r="T163" s="26" t="n">
        <f aca="false">2*PI()*(0.259086+1342.227825*M163 - INT(0.259086+1342.227825*M163))</f>
        <v>2.0170418474288</v>
      </c>
      <c r="U163" s="26" t="n">
        <f aca="false">T163+(P163+412*SIN(2*T163)+541*SIN(R163))/206264.8062</f>
        <v>1.94101438691124</v>
      </c>
      <c r="V163" s="26" t="n">
        <f aca="false">T163-2*S163</f>
        <v>-8.80496649015912</v>
      </c>
      <c r="W163" s="25" t="n">
        <f aca="false">-526*SIN(V163)+44*SIN(Q163+V163)-31*SIN(-Q163+V163)-23*SIN(R163+V163)+11*SIN(-R163+V163)-25*SIN(-2*Q163+T163)+21*SIN(-Q163+T163)</f>
        <v>304.168953057259</v>
      </c>
      <c r="X163" s="26" t="n">
        <f aca="false">2*PI()*(O163+P163/1296000-INT(O163+P163/1296000))</f>
        <v>2.71326229525475</v>
      </c>
      <c r="Y163" s="26" t="n">
        <f aca="false">(18520*SIN(U163)+W163)/206264.8062</f>
        <v>0.0851789063416493</v>
      </c>
      <c r="Z163" s="26" t="n">
        <f aca="false">Y163*180/PI()</f>
        <v>4.88039183691663</v>
      </c>
      <c r="AA163" s="26" t="n">
        <f aca="false">COS(Y163)*COS(X163)</f>
        <v>-0.90636250562878</v>
      </c>
      <c r="AB163" s="26" t="n">
        <f aca="false">COS(Y163)*SIN(X163)</f>
        <v>0.413846701695834</v>
      </c>
      <c r="AC163" s="26" t="n">
        <f aca="false">SIN(Y163)</f>
        <v>0.0850759418743071</v>
      </c>
      <c r="AD163" s="26" t="n">
        <f aca="false">COS($A$4*(23.4393-46.815*M163/3600))*AB163-SIN($A$4*(23.4393-46.815*M163/3600))*AC163</f>
        <v>0.34586818029079</v>
      </c>
      <c r="AE163" s="26" t="n">
        <f aca="false">SIN($A$4*(23.4393-46.815*M163/3600))*AB163+COS($A$4*(23.4393-46.815*M163/3600))*AC163</f>
        <v>0.242656568533923</v>
      </c>
      <c r="AF163" s="26" t="n">
        <f aca="false">SQRT(1-AE163*AE163)</f>
        <v>0.97011225626076</v>
      </c>
      <c r="AG163" s="10" t="n">
        <f aca="false">ATAN(AE163/AF163)/$A$4</f>
        <v>14.0433863979356</v>
      </c>
      <c r="AH163" s="26" t="n">
        <f aca="false">IF(24*ATAN(AD163/(AA163+AF163))/PI()&gt;0,24*ATAN(AD163/(AA163+AF163))/PI(),24*ATAN(AD163/(AA163+AF163))/PI()+24)</f>
        <v>10.6075421289957</v>
      </c>
      <c r="AI163" s="10" t="n">
        <f aca="false">IF(N163-15*AH163&gt;0,N163-15*AH163,360+N163-15*AH163)</f>
        <v>275.434802672202</v>
      </c>
      <c r="AJ163" s="18" t="n">
        <f aca="false">0.950724+0.051818*COS(Q163)+0.009531*COS(2*S163-Q163)+0.007843*COS(2*S163)+0.002824*COS(2*Q163)+0.000857*COS(2*S163+Q163)+0.000533*COS(2*S163-R163)+0.000401*COS(2*S163-R163-Q163)+0.00032*COS(Q163-R163)-0.000271*COS(S163)</f>
        <v>0.922572882153735</v>
      </c>
      <c r="AK163" s="50" t="n">
        <f aca="false">ASIN(COS($A$4*$G$2)*COS($A$4*AG163)*COS($A$4*AI163)+SIN($A$4*$G$2)*SIN($A$4*AG163))/$A$4</f>
        <v>-0.586455802169489</v>
      </c>
      <c r="AL163" s="18" t="n">
        <f aca="false">ASIN((0.9983271+0.0016764*COS($A$4*2*$G$2))*COS($A$4*AK163)*SIN($A$4*AJ163))/$A$4</f>
        <v>0.922055522063316</v>
      </c>
      <c r="AM163" s="18" t="n">
        <f aca="false">AK163-AL163</f>
        <v>-1.50851132423281</v>
      </c>
      <c r="AN163" s="10" t="n">
        <f aca="false"> IF(280.4664567 + 360007.6982779*M163/10 + 0.03032028*M163^2/100 + M163^3/49931000&lt;0,MOD(280.4664567 + 360007.6982779*M163/10 + 0.03032028*M163^2/100 + M163^3/49931000+360,360),MOD(280.4664567 + 360007.6982779*M163/10 + 0.03032028*M163^2/100 + M163^3/49931000,360))</f>
        <v>209.55371700965</v>
      </c>
      <c r="AO163" s="27" t="n">
        <f aca="false"> AN163 + (1.9146 - 0.004817*M163 - 0.000014*M163^2)*SIN(R163)+ (0.019993 - 0.000101*M163)*SIN(2*R163)+ 0.00029*SIN(3*R163)</f>
        <v>207.705863259173</v>
      </c>
      <c r="AP163" s="18" t="n">
        <f aca="false">ACOS(COS(X163-$A$4*AO163)*COS(Y163))/$A$4</f>
        <v>52.4080658122917</v>
      </c>
      <c r="AQ163" s="25" t="n">
        <f aca="false">180 - AP163 -0.1468*(1-0.0549*SIN(R163))*SIN($A$4*AP163)/(1-0.0167*SIN($A$4*AO163))</f>
        <v>127.470425093094</v>
      </c>
      <c r="AR163" s="25" t="n">
        <f aca="false">SIN($A$4*AI163)</f>
        <v>-0.995504617558724</v>
      </c>
      <c r="AS163" s="25" t="n">
        <f aca="false">COS($A$4*AI163)*SIN($A$4*$G$2) - TAN($A$4*AG163)*COS($A$4*$G$2)</f>
        <v>-0.267255472388562</v>
      </c>
      <c r="AT163" s="25" t="n">
        <f aca="false">IF(OR(AND(AR163*AS163&gt;0), AND(AR163&lt;0,AS163&gt;0)), MOD(ATAN2(AS163,AR163)/$A$4+360,360),  ATAN2(AS163,AR163)/$A$4)</f>
        <v>254.972573271664</v>
      </c>
      <c r="AU163" s="29" t="n">
        <f aca="false">(1+SIN($A$4*H163)*SIN($A$4*AJ163))*120*ASIN(0.272481*SIN($A$4*AJ163))/$A$4</f>
        <v>30.1520369983206</v>
      </c>
      <c r="AV163" s="10" t="n">
        <f aca="false">COS(X163)</f>
        <v>-0.909660507249031</v>
      </c>
      <c r="AW163" s="10" t="n">
        <f aca="false">SIN(X163)</f>
        <v>0.415352574990737</v>
      </c>
      <c r="AX163" s="30" t="n">
        <f aca="false"> 385000.56 + (-20905355*COS(Q163) - 3699111*COS(2*S163-Q163) - 2955968*COS(2*S163) - 569925*COS(2*Q163) + (1-0.002516*M163)*48888*COS(R163) - 3149*COS(2*T163)  +246158*COS(2*S163-2*Q163) -(1-0.002516*M163)*152138*COS(2*S163-R163-Q163) -170733*COS(2*S163+Q163) -(1-0.002516*M163)*204586*COS(2*S163-R163) -(1-0.002516*M163)*129620*COS(R163-Q163)  + 108743*COS(S163) +(1-0.002516*M163)*104755*COS(R163+Q163) +10321*COS(2*S163-2*T163) +79661*COS(Q163-2*T163) -34782*COS(4*S163-Q163) -23210*COS(3*Q163)  -21636*COS(4*S163-2*Q163) +(1-0.002516*M163)*24208*COS(2*S163+R163-Q163) +(1-0.002516*M163)*30824*COS(2*S163+R163) -8379*COS(S163-Q163) -(1-0.002516*M163)*16675*COS(S163+R163)  -(1-0.002516*M163)*12831*COS(2*S163-R163+Q163) -10445*COS(2*S163+2*Q163) -11650*COS(4*S163) +14403*COS(2*S163-3*Q163) -(1-0.002516*M163)*7003*COS(R163-2*Q163)  + (1-0.002516*M163)*10056*COS(2*S163-R163-2*Q163) +6322*COS(S163+Q163) -(1-0.002516*M163)*(1-0.002516*M163)*9884*COS(2*S163-2*R163) +(1-0.002516*M163)*5751*COS(R163+2*Q163) -(1-0.002516*M163)*(1-0.002516*M163)*4950*COS(2*S163-2*R163-Q163)  +4130*COS(2*S163+Q163-2*T163) -(1-0.002516*M163)*3958*COS(4*S163-R163-Q163) +3258*COS(3*S163-Q163) +(1-0.002516*M163)*2616*COS(2*S163+R163+Q163) -(1-0.002516*M163)*1897*COS(4*S163-R163-2*Q163)  -(1-0.002516*M163)*(1-0.002516*M163)*2117*COS(2*R163-Q163) +(1-0.002516*M163)*(1-0.002516*M163)*2354*COS(2*S163+2*R163-Q163) -1423*COS(4*S163+Q163) -1117*COS(4*Q163) -(1-0.002516*M163)*1571*COS(4*S163-R163)  -1739*COS(S163-2*Q163) -4421*COS(2*Q163-2*T163) +(1-0.002516*M163)*(1-0.002516*M163)*1165*COS(2*R163+Q163) +8752*COS(2*S163-Q163-2*T163))/1000</f>
        <v>396016.508285033</v>
      </c>
      <c r="AY163" s="10" t="n">
        <f aca="false">AY162+1/8</f>
        <v>21.125</v>
      </c>
      <c r="AZ163" s="17" t="n">
        <f aca="false">AZ162+1</f>
        <v>162</v>
      </c>
      <c r="BA163" s="32" t="n">
        <f aca="false">ATAN(0.99664719*TAN($A$4*input!$E$2))</f>
        <v>-0.400219206115995</v>
      </c>
      <c r="BB163" s="32" t="n">
        <f aca="false">COS(BA163)</f>
        <v>0.920975608992155</v>
      </c>
      <c r="BC163" s="32" t="n">
        <f aca="false">0.99664719*SIN(BA163)</f>
        <v>-0.388313912533463</v>
      </c>
      <c r="BD163" s="32" t="n">
        <f aca="false">6378.14/AX163</f>
        <v>0.0161057427318392</v>
      </c>
      <c r="BE163" s="33" t="n">
        <f aca="false">MOD(N163-15*AH163,360)</f>
        <v>275.434802672202</v>
      </c>
      <c r="BF163" s="27" t="n">
        <f aca="false">COS($A$4*AG163)*SIN($A$4*BE163)</f>
        <v>-0.965751230657898</v>
      </c>
      <c r="BG163" s="27" t="n">
        <f aca="false">COS($A$4*AG163)*COS($A$4*BE163)-BB163*BD163</f>
        <v>0.0770492666491951</v>
      </c>
      <c r="BH163" s="27" t="n">
        <f aca="false">SIN($A$4*AG163)-BC163*BD163</f>
        <v>0.248910652508381</v>
      </c>
      <c r="BI163" s="46" t="n">
        <f aca="false">SQRT(BF163^2+BG163^2+BH163^2)</f>
        <v>1.00028423057678</v>
      </c>
      <c r="BJ163" s="35" t="n">
        <f aca="false">AX163*BI163</f>
        <v>396129.068285595</v>
      </c>
    </row>
    <row r="164" customFormat="false" ht="15" hidden="false" customHeight="false" outlineLevel="0" collapsed="false">
      <c r="A164" s="20"/>
      <c r="B164" s="20"/>
      <c r="C164" s="15" t="n">
        <f aca="false">MOD(C163+3,24)</f>
        <v>6</v>
      </c>
      <c r="D164" s="17" t="n">
        <v>21</v>
      </c>
      <c r="E164" s="102" t="n">
        <f aca="false">input!$C$2</f>
        <v>10</v>
      </c>
      <c r="F164" s="102" t="n">
        <f aca="false">input!$D$2</f>
        <v>2022</v>
      </c>
      <c r="H164" s="39" t="n">
        <f aca="false">AM164</f>
        <v>35.1378888732734</v>
      </c>
      <c r="I164" s="48" t="n">
        <f aca="false">H164+1.02/(TAN($A$4*(H164+10.3/(H164+5.11)))*60)</f>
        <v>35.1618156773859</v>
      </c>
      <c r="J164" s="39" t="n">
        <f aca="false">100*(1+COS($A$4*AQ164))/2</f>
        <v>18.6037206320252</v>
      </c>
      <c r="K164" s="48" t="n">
        <f aca="false">IF(AI164&gt;180,AT164-180,AT164+180)</f>
        <v>51.8192960203502</v>
      </c>
      <c r="L164" s="10" t="n">
        <f aca="false">L163+1/8</f>
        <v>2459873.75</v>
      </c>
      <c r="M164" s="49" t="n">
        <f aca="false">(L164-2451545)/36525</f>
        <v>0.228028747433265</v>
      </c>
      <c r="N164" s="15" t="n">
        <f aca="false">MOD(280.46061837+360.98564736629*(L164-2451545)+0.000387933*M164^2-M164^3/38710000+$G$4,360)</f>
        <v>119.67114052875</v>
      </c>
      <c r="O164" s="18" t="n">
        <f aca="false">0.60643382+1336.85522467*M164 - 0.00000313*M164^2 - INT(0.60643382+1336.85522467*M164 - 0.00000313*M164^2)</f>
        <v>0.447856038365103</v>
      </c>
      <c r="P164" s="15" t="n">
        <f aca="false">22640*SIN(Q164)-4586*SIN(Q164-2*S164)+2370*SIN(2*S164)+769*SIN(2*Q164)-668*SIN(R164)-412*SIN(2*T164)-212*SIN(2*Q164-2*S164)-206*SIN(Q164+R164-2*S164)+192*SIN(Q164+2*S164)-165*SIN(R164-2*S164)-125*SIN(S164)-110*SIN(Q164+R164)+148*SIN(Q164-R164)-55*SIN(2*T164-2*S164)</f>
        <v>-15178.6992888339</v>
      </c>
      <c r="Q164" s="18" t="n">
        <f aca="false">2*PI()*(0.374897+1325.55241*M164 - INT(0.374897+1325.55241*M164))</f>
        <v>4.01465827597094</v>
      </c>
      <c r="R164" s="26" t="n">
        <f aca="false">2*PI()*(0.99312619+99.99735956*M164 - 0.00000044*M164^2 - INT(0.99312619+99.99735956*M164- 0.00000044*M164^2))</f>
        <v>4.99763814286705</v>
      </c>
      <c r="S164" s="26" t="n">
        <f aca="false">2*PI()*(0.827361+1236.853086*M164 - INT(0.827361+1236.853086*M164))</f>
        <v>5.43760025755889</v>
      </c>
      <c r="T164" s="26" t="n">
        <f aca="false">2*PI()*(0.259086+1342.227825*M164 - INT(0.259086+1342.227825*M164))</f>
        <v>2.04590381234656</v>
      </c>
      <c r="U164" s="26" t="n">
        <f aca="false">T164+(P164+412*SIN(2*T164)+541*SIN(R164))/206264.8062</f>
        <v>1.96817355228999</v>
      </c>
      <c r="V164" s="26" t="n">
        <f aca="false">T164-2*S164</f>
        <v>-8.82929670277121</v>
      </c>
      <c r="W164" s="25" t="n">
        <f aca="false">-526*SIN(V164)+44*SIN(Q164+V164)-31*SIN(-Q164+V164)-23*SIN(R164+V164)+11*SIN(-R164+V164)-25*SIN(-2*Q164+T164)+21*SIN(-Q164+T164)</f>
        <v>295.444506929718</v>
      </c>
      <c r="X164" s="26" t="n">
        <f aca="false">2*PI()*(O164+P164/1296000-INT(O164+P164/1296000))</f>
        <v>2.74037406922053</v>
      </c>
      <c r="Y164" s="26" t="n">
        <f aca="false">(18520*SIN(U164)+W164)/206264.8062</f>
        <v>0.0842235341352549</v>
      </c>
      <c r="Z164" s="26" t="n">
        <f aca="false">Y164*180/PI()</f>
        <v>4.82565304162613</v>
      </c>
      <c r="AA164" s="26" t="n">
        <f aca="false">COS(Y164)*COS(X164)</f>
        <v>-0.917322565509365</v>
      </c>
      <c r="AB164" s="26" t="n">
        <f aca="false">COS(Y164)*SIN(X164)</f>
        <v>0.389156092487423</v>
      </c>
      <c r="AC164" s="26" t="n">
        <f aca="false">SIN(Y164)</f>
        <v>0.0841239947175478</v>
      </c>
      <c r="AD164" s="26" t="n">
        <f aca="false">COS($A$4*(23.4393-46.815*M164/3600))*AB164-SIN($A$4*(23.4393-46.815*M164/3600))*AC164</f>
        <v>0.323593100447008</v>
      </c>
      <c r="AE164" s="26" t="n">
        <f aca="false">SIN($A$4*(23.4393-46.815*M164/3600))*AB164+COS($A$4*(23.4393-46.815*M164/3600))*AC164</f>
        <v>0.231962962885048</v>
      </c>
      <c r="AF164" s="26" t="n">
        <f aca="false">SQRT(1-AE164*AE164)</f>
        <v>0.972724618712609</v>
      </c>
      <c r="AG164" s="10" t="n">
        <f aca="false">ATAN(AE164/AF164)/$A$4</f>
        <v>13.4126671727013</v>
      </c>
      <c r="AH164" s="26" t="n">
        <f aca="false">IF(24*ATAN(AD164/(AA164+AF164))/PI()&gt;0,24*ATAN(AD164/(AA164+AF164))/PI(),24*ATAN(AD164/(AA164+AF164))/PI()+24)</f>
        <v>10.7046190529773</v>
      </c>
      <c r="AI164" s="10" t="n">
        <f aca="false">IF(N164-15*AH164&gt;0,N164-15*AH164,360+N164-15*AH164)</f>
        <v>319.10185473409</v>
      </c>
      <c r="AJ164" s="18" t="n">
        <f aca="false">0.950724+0.051818*COS(Q164)+0.009531*COS(2*S164-Q164)+0.007843*COS(2*S164)+0.002824*COS(2*Q164)+0.000857*COS(2*S164+Q164)+0.000533*COS(2*S164-R164)+0.000401*COS(2*S164-R164-Q164)+0.00032*COS(Q164-R164)-0.000271*COS(S164)</f>
        <v>0.923769754735128</v>
      </c>
      <c r="AK164" s="50" t="n">
        <f aca="false">ASIN(COS($A$4*$G$2)*COS($A$4*AG164)*COS($A$4*AI164)+SIN($A$4*$G$2)*SIN($A$4*AG164))/$A$4</f>
        <v>35.8859222705383</v>
      </c>
      <c r="AL164" s="18" t="n">
        <f aca="false">ASIN((0.9983271+0.0016764*COS($A$4*2*$G$2))*COS($A$4*AK164)*SIN($A$4*AJ164))/$A$4</f>
        <v>0.748033397264832</v>
      </c>
      <c r="AM164" s="18" t="n">
        <f aca="false">AK164-AL164</f>
        <v>35.1378888732734</v>
      </c>
      <c r="AN164" s="10" t="n">
        <f aca="false"> IF(280.4664567 + 360007.6982779*M164/10 + 0.03032028*M164^2/100 + M164^3/49931000&lt;0,MOD(280.4664567 + 360007.6982779*M164/10 + 0.03032028*M164^2/100 + M164^3/49931000+360,360),MOD(280.4664567 + 360007.6982779*M164/10 + 0.03032028*M164^2/100 + M164^3/49931000,360))</f>
        <v>209.676922930137</v>
      </c>
      <c r="AO164" s="27" t="n">
        <f aca="false"> AN164 + (1.9146 - 0.004817*M164 - 0.000014*M164^2)*SIN(R164)+ (0.019993 - 0.000101*M164)*SIN(2*R164)+ 0.00029*SIN(3*R164)</f>
        <v>207.830148967522</v>
      </c>
      <c r="AP164" s="18" t="n">
        <f aca="false">ACOS(COS(X164-$A$4*AO164)*COS(Y164))/$A$4</f>
        <v>50.9836200386827</v>
      </c>
      <c r="AQ164" s="25" t="n">
        <f aca="false">180 - AP164 -0.1468*(1-0.0549*SIN(R164))*SIN($A$4*AP164)/(1-0.0167*SIN($A$4*AO164))</f>
        <v>128.897241417713</v>
      </c>
      <c r="AR164" s="25" t="n">
        <f aca="false">SIN($A$4*AI164)</f>
        <v>-0.654716345477905</v>
      </c>
      <c r="AS164" s="25" t="n">
        <f aca="false">COS($A$4*AI164)*SIN($A$4*$G$2) - TAN($A$4*AG164)*COS($A$4*$G$2)</f>
        <v>-0.514854019449185</v>
      </c>
      <c r="AT164" s="25" t="n">
        <f aca="false">IF(OR(AND(AR164*AS164&gt;0), AND(AR164&lt;0,AS164&gt;0)), MOD(ATAN2(AS164,AR164)/$A$4+360,360),  ATAN2(AS164,AR164)/$A$4)</f>
        <v>231.81929602035</v>
      </c>
      <c r="AU164" s="29" t="n">
        <f aca="false">(1+SIN($A$4*H164)*SIN($A$4*AJ164))*120*ASIN(0.272481*SIN($A$4*AJ164))/$A$4</f>
        <v>30.4842166389424</v>
      </c>
      <c r="AV164" s="10" t="n">
        <f aca="false">COS(X164)</f>
        <v>-0.920585771151594</v>
      </c>
      <c r="AW164" s="10" t="n">
        <f aca="false">SIN(X164)</f>
        <v>0.390540443428367</v>
      </c>
      <c r="AX164" s="30" t="n">
        <f aca="false"> 385000.56 + (-20905355*COS(Q164) - 3699111*COS(2*S164-Q164) - 2955968*COS(2*S164) - 569925*COS(2*Q164) + (1-0.002516*M164)*48888*COS(R164) - 3149*COS(2*T164)  +246158*COS(2*S164-2*Q164) -(1-0.002516*M164)*152138*COS(2*S164-R164-Q164) -170733*COS(2*S164+Q164) -(1-0.002516*M164)*204586*COS(2*S164-R164) -(1-0.002516*M164)*129620*COS(R164-Q164)  + 108743*COS(S164) +(1-0.002516*M164)*104755*COS(R164+Q164) +10321*COS(2*S164-2*T164) +79661*COS(Q164-2*T164) -34782*COS(4*S164-Q164) -23210*COS(3*Q164)  -21636*COS(4*S164-2*Q164) +(1-0.002516*M164)*24208*COS(2*S164+R164-Q164) +(1-0.002516*M164)*30824*COS(2*S164+R164) -8379*COS(S164-Q164) -(1-0.002516*M164)*16675*COS(S164+R164)  -(1-0.002516*M164)*12831*COS(2*S164-R164+Q164) -10445*COS(2*S164+2*Q164) -11650*COS(4*S164) +14403*COS(2*S164-3*Q164) -(1-0.002516*M164)*7003*COS(R164-2*Q164)  + (1-0.002516*M164)*10056*COS(2*S164-R164-2*Q164) +6322*COS(S164+Q164) -(1-0.002516*M164)*(1-0.002516*M164)*9884*COS(2*S164-2*R164) +(1-0.002516*M164)*5751*COS(R164+2*Q164) -(1-0.002516*M164)*(1-0.002516*M164)*4950*COS(2*S164-2*R164-Q164)  +4130*COS(2*S164+Q164-2*T164) -(1-0.002516*M164)*3958*COS(4*S164-R164-Q164) +3258*COS(3*S164-Q164) +(1-0.002516*M164)*2616*COS(2*S164+R164+Q164) -(1-0.002516*M164)*1897*COS(4*S164-R164-2*Q164)  -(1-0.002516*M164)*(1-0.002516*M164)*2117*COS(2*R164-Q164) +(1-0.002516*M164)*(1-0.002516*M164)*2354*COS(2*S164+2*R164-Q164) -1423*COS(4*S164+Q164) -1117*COS(4*Q164) -(1-0.002516*M164)*1571*COS(4*S164-R164)  -1739*COS(S164-2*Q164) -4421*COS(2*Q164-2*T164) +(1-0.002516*M164)*(1-0.002516*M164)*1165*COS(2*R164+Q164) +8752*COS(2*S164-Q164-2*T164))/1000</f>
        <v>395496.073871579</v>
      </c>
      <c r="AY164" s="10" t="n">
        <f aca="false">AY163+1/8</f>
        <v>21.25</v>
      </c>
      <c r="AZ164" s="17" t="n">
        <f aca="false">AZ163+1</f>
        <v>163</v>
      </c>
      <c r="BA164" s="32" t="n">
        <f aca="false">ATAN(0.99664719*TAN($A$4*input!$E$2))</f>
        <v>-0.400219206115995</v>
      </c>
      <c r="BB164" s="32" t="n">
        <f aca="false">COS(BA164)</f>
        <v>0.920975608992155</v>
      </c>
      <c r="BC164" s="32" t="n">
        <f aca="false">0.99664719*SIN(BA164)</f>
        <v>-0.388313912533463</v>
      </c>
      <c r="BD164" s="32" t="n">
        <f aca="false">6378.14/AX164</f>
        <v>0.0161269363247106</v>
      </c>
      <c r="BE164" s="33" t="n">
        <f aca="false">MOD(N164-15*AH164,360)</f>
        <v>319.10185473409</v>
      </c>
      <c r="BF164" s="27" t="n">
        <f aca="false">COS($A$4*AG164)*SIN($A$4*BE164)</f>
        <v>-0.636858707519908</v>
      </c>
      <c r="BG164" s="27" t="n">
        <f aca="false">COS($A$4*AG164)*COS($A$4*BE164)-BB164*BD164</f>
        <v>0.720405378872282</v>
      </c>
      <c r="BH164" s="27" t="n">
        <f aca="false">SIN($A$4*AG164)-BC164*BD164</f>
        <v>0.238225276626474</v>
      </c>
      <c r="BI164" s="46" t="n">
        <f aca="false">SQRT(BF164^2+BG164^2+BH164^2)</f>
        <v>0.990618092746041</v>
      </c>
      <c r="BJ164" s="35" t="n">
        <f aca="false">AX164*BI164</f>
        <v>391785.566387211</v>
      </c>
    </row>
    <row r="165" customFormat="false" ht="15" hidden="false" customHeight="false" outlineLevel="0" collapsed="false">
      <c r="A165" s="20"/>
      <c r="B165" s="20"/>
      <c r="C165" s="15" t="n">
        <f aca="false">MOD(C164+3,24)</f>
        <v>9</v>
      </c>
      <c r="D165" s="17" t="n">
        <v>21</v>
      </c>
      <c r="E165" s="102" t="n">
        <f aca="false">input!$C$2</f>
        <v>10</v>
      </c>
      <c r="F165" s="102" t="n">
        <f aca="false">input!$D$2</f>
        <v>2022</v>
      </c>
      <c r="H165" s="39" t="n">
        <f aca="false">AM165</f>
        <v>53.58354500378</v>
      </c>
      <c r="I165" s="48" t="n">
        <f aca="false">H165+1.02/(TAN($A$4*(H165+10.3/(H165+5.11)))*60)</f>
        <v>53.596005799008</v>
      </c>
      <c r="J165" s="39" t="n">
        <f aca="false">100*(1+COS($A$4*AQ165))/2</f>
        <v>17.6415534326369</v>
      </c>
      <c r="K165" s="48" t="n">
        <f aca="false">IF(AI165&gt;180,AT165-180,AT165+180)</f>
        <v>355.382729014088</v>
      </c>
      <c r="L165" s="10" t="n">
        <f aca="false">L164+1/8</f>
        <v>2459873.875</v>
      </c>
      <c r="M165" s="49" t="n">
        <f aca="false">(L165-2451545)/36525</f>
        <v>0.228032169746749</v>
      </c>
      <c r="N165" s="15" t="n">
        <f aca="false">MOD(280.46061837+360.98564736629*(L165-2451545)+0.000387933*M165^2-M165^3/38710000+$G$4,360)</f>
        <v>164.794346450362</v>
      </c>
      <c r="O165" s="18" t="n">
        <f aca="false">0.60643382+1336.85522467*M165 - 0.00000313*M165^2 - INT(0.60643382+1336.85522467*M165 - 0.00000313*M165^2)</f>
        <v>0.452431176021662</v>
      </c>
      <c r="P165" s="15" t="n">
        <f aca="false">22640*SIN(Q165)-4586*SIN(Q165-2*S165)+2370*SIN(2*S165)+769*SIN(2*Q165)-668*SIN(R165)-412*SIN(2*T165)-212*SIN(2*Q165-2*S165)-206*SIN(Q165+R165-2*S165)+192*SIN(Q165+2*S165)-165*SIN(R165-2*S165)-125*SIN(S165)-110*SIN(Q165+R165)+148*SIN(Q165-R165)-55*SIN(2*T165-2*S165)</f>
        <v>-15501.0343277965</v>
      </c>
      <c r="Q165" s="18" t="n">
        <f aca="false">2*PI()*(0.374897+1325.55241*M165 - INT(0.374897+1325.55241*M165))</f>
        <v>4.0431616689431</v>
      </c>
      <c r="R165" s="26" t="n">
        <f aca="false">2*PI()*(0.99312619+99.99735956*M165 - 0.00000044*M165^2 - INT(0.99312619+99.99735956*M165- 0.00000044*M165^2))</f>
        <v>4.99978838906515</v>
      </c>
      <c r="S165" s="26" t="n">
        <f aca="false">2*PI()*(0.827361+1236.853086*M165 - INT(0.827361+1236.853086*M165))</f>
        <v>5.46419634632381</v>
      </c>
      <c r="T165" s="26" t="n">
        <f aca="false">2*PI()*(0.259086+1342.227825*M165 - INT(0.259086+1342.227825*M165))</f>
        <v>2.07476577726397</v>
      </c>
      <c r="U165" s="26" t="n">
        <f aca="false">T165+(P165+412*SIN(2*T165)+541*SIN(R165))/206264.8062</f>
        <v>1.99541008172887</v>
      </c>
      <c r="V165" s="26" t="n">
        <f aca="false">T165-2*S165</f>
        <v>-8.85362691538365</v>
      </c>
      <c r="W165" s="25" t="n">
        <f aca="false">-526*SIN(V165)+44*SIN(Q165+V165)-31*SIN(-Q165+V165)-23*SIN(R165+V165)+11*SIN(-R165+V165)-25*SIN(-2*Q165+T165)+21*SIN(-Q165+T165)</f>
        <v>286.54134710842</v>
      </c>
      <c r="X165" s="26" t="n">
        <f aca="false">2*PI()*(O165+P165/1296000-INT(O165+P165/1296000))</f>
        <v>2.76755778255464</v>
      </c>
      <c r="Y165" s="26" t="n">
        <f aca="false">(18520*SIN(U165)+W165)/206264.8062</f>
        <v>0.0832033693781533</v>
      </c>
      <c r="Z165" s="26" t="n">
        <f aca="false">Y165*180/PI()</f>
        <v>4.76720190663622</v>
      </c>
      <c r="AA165" s="26" t="n">
        <f aca="false">COS(Y165)*COS(X165)</f>
        <v>-0.927640465600157</v>
      </c>
      <c r="AB165" s="26" t="n">
        <f aca="false">COS(Y165)*SIN(X165)</f>
        <v>0.364110321500665</v>
      </c>
      <c r="AC165" s="26" t="n">
        <f aca="false">SIN(Y165)</f>
        <v>0.0831074025451785</v>
      </c>
      <c r="AD165" s="26" t="n">
        <f aca="false">COS($A$4*(23.4393-46.815*M165/3600))*AB165-SIN($A$4*(23.4393-46.815*M165/3600))*AC165</f>
        <v>0.30101786998641</v>
      </c>
      <c r="AE165" s="26" t="n">
        <f aca="false">SIN($A$4*(23.4393-46.815*M165/3600))*AB165+COS($A$4*(23.4393-46.815*M165/3600))*AC165</f>
        <v>0.22106878687406</v>
      </c>
      <c r="AF165" s="26" t="n">
        <f aca="false">SQRT(1-AE165*AE165)</f>
        <v>0.97525821784286</v>
      </c>
      <c r="AG165" s="10" t="n">
        <f aca="false">ATAN(AE165/AF165)/$A$4</f>
        <v>12.7718157364264</v>
      </c>
      <c r="AH165" s="26" t="n">
        <f aca="false">IF(24*ATAN(AD165/(AA165+AF165))/PI()&gt;0,24*ATAN(AD165/(AA165+AF165))/PI(),24*ATAN(AD165/(AA165+AF165))/PI()+24)</f>
        <v>10.8014556590153</v>
      </c>
      <c r="AI165" s="10" t="n">
        <f aca="false">IF(N165-15*AH165&gt;0,N165-15*AH165,360+N165-15*AH165)</f>
        <v>2.77251156513321</v>
      </c>
      <c r="AJ165" s="18" t="n">
        <f aca="false">0.950724+0.051818*COS(Q165)+0.009531*COS(2*S165-Q165)+0.007843*COS(2*S165)+0.002824*COS(2*Q165)+0.000857*COS(2*S165+Q165)+0.000533*COS(2*S165-R165)+0.000401*COS(2*S165-R165-Q165)+0.00032*COS(Q165-R165)-0.000271*COS(S165)</f>
        <v>0.924995765204966</v>
      </c>
      <c r="AK165" s="50" t="n">
        <f aca="false">ASIN(COS($A$4*$G$2)*COS($A$4*AG165)*COS($A$4*AI165)+SIN($A$4*$G$2)*SIN($A$4*AG165))/$A$4</f>
        <v>54.1253148121248</v>
      </c>
      <c r="AL165" s="18" t="n">
        <f aca="false">ASIN((0.9983271+0.0016764*COS($A$4*2*$G$2))*COS($A$4*AK165)*SIN($A$4*AJ165))/$A$4</f>
        <v>0.541769808344827</v>
      </c>
      <c r="AM165" s="18" t="n">
        <f aca="false">AK165-AL165</f>
        <v>53.58354500378</v>
      </c>
      <c r="AN165" s="10" t="n">
        <f aca="false"> IF(280.4664567 + 360007.6982779*M165/10 + 0.03032028*M165^2/100 + M165^3/49931000&lt;0,MOD(280.4664567 + 360007.6982779*M165/10 + 0.03032028*M165^2/100 + M165^3/49931000+360,360),MOD(280.4664567 + 360007.6982779*M165/10 + 0.03032028*M165^2/100 + M165^3/49931000,360))</f>
        <v>209.800128850622</v>
      </c>
      <c r="AO165" s="27" t="n">
        <f aca="false"> AN165 + (1.9146 - 0.004817*M165 - 0.000014*M165^2)*SIN(R165)+ (0.019993 - 0.000101*M165)*SIN(2*R165)+ 0.00029*SIN(3*R165)</f>
        <v>207.954443357075</v>
      </c>
      <c r="AP165" s="18" t="n">
        <f aca="false">ACOS(COS(X165-$A$4*AO165)*COS(Y165))/$A$4</f>
        <v>49.5548229641097</v>
      </c>
      <c r="AQ165" s="25" t="n">
        <f aca="false">180 - AP165 -0.1468*(1-0.0549*SIN(R165))*SIN($A$4*AP165)/(1-0.0167*SIN($A$4*AO165))</f>
        <v>130.328489949624</v>
      </c>
      <c r="AR165" s="25" t="n">
        <f aca="false">SIN($A$4*AI165)</f>
        <v>0.0483705732693568</v>
      </c>
      <c r="AS165" s="25" t="n">
        <f aca="false">COS($A$4*AI165)*SIN($A$4*$G$2) - TAN($A$4*AG165)*COS($A$4*$G$2)</f>
        <v>-0.598931209978931</v>
      </c>
      <c r="AT165" s="25" t="n">
        <f aca="false">IF(OR(AND(AR165*AS165&gt;0), AND(AR165&lt;0,AS165&gt;0)), MOD(ATAN2(AS165,AR165)/$A$4+360,360),  ATAN2(AS165,AR165)/$A$4)</f>
        <v>175.382729014088</v>
      </c>
      <c r="AU165" s="29" t="n">
        <f aca="false">(1+SIN($A$4*H165)*SIN($A$4*AJ165))*120*ASIN(0.272481*SIN($A$4*AJ165))/$A$4</f>
        <v>30.6369385704858</v>
      </c>
      <c r="AV165" s="10" t="n">
        <f aca="false">COS(X165)</f>
        <v>-0.930860688712528</v>
      </c>
      <c r="AW165" s="10" t="n">
        <f aca="false">SIN(X165)</f>
        <v>0.365374298780904</v>
      </c>
      <c r="AX165" s="30" t="n">
        <f aca="false"> 385000.56 + (-20905355*COS(Q165) - 3699111*COS(2*S165-Q165) - 2955968*COS(2*S165) - 569925*COS(2*Q165) + (1-0.002516*M165)*48888*COS(R165) - 3149*COS(2*T165)  +246158*COS(2*S165-2*Q165) -(1-0.002516*M165)*152138*COS(2*S165-R165-Q165) -170733*COS(2*S165+Q165) -(1-0.002516*M165)*204586*COS(2*S165-R165) -(1-0.002516*M165)*129620*COS(R165-Q165)  + 108743*COS(S165) +(1-0.002516*M165)*104755*COS(R165+Q165) +10321*COS(2*S165-2*T165) +79661*COS(Q165-2*T165) -34782*COS(4*S165-Q165) -23210*COS(3*Q165)  -21636*COS(4*S165-2*Q165) +(1-0.002516*M165)*24208*COS(2*S165+R165-Q165) +(1-0.002516*M165)*30824*COS(2*S165+R165) -8379*COS(S165-Q165) -(1-0.002516*M165)*16675*COS(S165+R165)  -(1-0.002516*M165)*12831*COS(2*S165-R165+Q165) -10445*COS(2*S165+2*Q165) -11650*COS(4*S165) +14403*COS(2*S165-3*Q165) -(1-0.002516*M165)*7003*COS(R165-2*Q165)  + (1-0.002516*M165)*10056*COS(2*S165-R165-2*Q165) +6322*COS(S165+Q165) -(1-0.002516*M165)*(1-0.002516*M165)*9884*COS(2*S165-2*R165) +(1-0.002516*M165)*5751*COS(R165+2*Q165) -(1-0.002516*M165)*(1-0.002516*M165)*4950*COS(2*S165-2*R165-Q165)  +4130*COS(2*S165+Q165-2*T165) -(1-0.002516*M165)*3958*COS(4*S165-R165-Q165) +3258*COS(3*S165-Q165) +(1-0.002516*M165)*2616*COS(2*S165+R165+Q165) -(1-0.002516*M165)*1897*COS(4*S165-R165-2*Q165)  -(1-0.002516*M165)*(1-0.002516*M165)*2117*COS(2*R165-Q165) +(1-0.002516*M165)*(1-0.002516*M165)*2354*COS(2*S165+2*R165-Q165) -1423*COS(4*S165+Q165) -1117*COS(4*Q165) -(1-0.002516*M165)*1571*COS(4*S165-R165)  -1739*COS(S165-2*Q165) -4421*COS(2*Q165-2*T165) +(1-0.002516*M165)*(1-0.002516*M165)*1165*COS(2*R165+Q165) +8752*COS(2*S165-Q165-2*T165))/1000</f>
        <v>394965.254553405</v>
      </c>
      <c r="AY165" s="10" t="n">
        <f aca="false">AY164+1/8</f>
        <v>21.375</v>
      </c>
      <c r="AZ165" s="17" t="n">
        <f aca="false">AZ164+1</f>
        <v>164</v>
      </c>
      <c r="BA165" s="32" t="n">
        <f aca="false">ATAN(0.99664719*TAN($A$4*input!$E$2))</f>
        <v>-0.400219206115995</v>
      </c>
      <c r="BB165" s="32" t="n">
        <f aca="false">COS(BA165)</f>
        <v>0.920975608992155</v>
      </c>
      <c r="BC165" s="32" t="n">
        <f aca="false">0.99664719*SIN(BA165)</f>
        <v>-0.388313912533463</v>
      </c>
      <c r="BD165" s="32" t="n">
        <f aca="false">6378.14/AX165</f>
        <v>0.0161486103561486</v>
      </c>
      <c r="BE165" s="33" t="n">
        <f aca="false">MOD(N165-15*AH165,360)</f>
        <v>2.77251156513321</v>
      </c>
      <c r="BF165" s="27" t="n">
        <f aca="false">COS($A$4*AG165)*SIN($A$4*BE165)</f>
        <v>0.0471737990827104</v>
      </c>
      <c r="BG165" s="27" t="n">
        <f aca="false">COS($A$4*AG165)*COS($A$4*BE165)-BB165*BD165</f>
        <v>0.959244161600028</v>
      </c>
      <c r="BH165" s="27" t="n">
        <f aca="false">SIN($A$4*AG165)-BC165*BD165</f>
        <v>0.227339516943434</v>
      </c>
      <c r="BI165" s="46" t="n">
        <f aca="false">SQRT(BF165^2+BG165^2+BH165^2)</f>
        <v>0.986943759718714</v>
      </c>
      <c r="BJ165" s="35" t="n">
        <f aca="false">AX165*BI165</f>
        <v>389808.493287197</v>
      </c>
    </row>
    <row r="166" customFormat="false" ht="15" hidden="false" customHeight="false" outlineLevel="0" collapsed="false">
      <c r="A166" s="20"/>
      <c r="B166" s="20"/>
      <c r="C166" s="15" t="n">
        <f aca="false">MOD(C165+3,24)</f>
        <v>12</v>
      </c>
      <c r="D166" s="17" t="n">
        <v>21</v>
      </c>
      <c r="E166" s="102" t="n">
        <f aca="false">input!$C$2</f>
        <v>10</v>
      </c>
      <c r="F166" s="102" t="n">
        <f aca="false">input!$D$2</f>
        <v>2022</v>
      </c>
      <c r="H166" s="39" t="n">
        <f aca="false">AM166</f>
        <v>31.7721602768684</v>
      </c>
      <c r="I166" s="48" t="n">
        <f aca="false">H166+1.02/(TAN($A$4*(H166+10.3/(H166+5.11)))*60)</f>
        <v>31.7993117033438</v>
      </c>
      <c r="J166" s="39" t="n">
        <f aca="false">100*(1+COS($A$4*AQ166))/2</f>
        <v>16.6966215496582</v>
      </c>
      <c r="K166" s="48" t="n">
        <f aca="false">IF(AI166&gt;180,AT166-180,AT166+180)</f>
        <v>302.792442328861</v>
      </c>
      <c r="L166" s="10" t="n">
        <f aca="false">L165+1/8</f>
        <v>2459874</v>
      </c>
      <c r="M166" s="49" t="n">
        <f aca="false">(L166-2451545)/36525</f>
        <v>0.228035592060233</v>
      </c>
      <c r="N166" s="15" t="n">
        <f aca="false">MOD(280.46061837+360.98564736629*(L166-2451545)+0.000387933*M166^2-M166^3/38710000+$G$4,360)</f>
        <v>209.917552371509</v>
      </c>
      <c r="O166" s="18" t="n">
        <f aca="false">0.60643382+1336.85522467*M166 - 0.00000313*M166^2 - INT(0.60643382+1336.85522467*M166 - 0.00000313*M166^2)</f>
        <v>0.457006313678164</v>
      </c>
      <c r="P166" s="15" t="n">
        <f aca="false">22640*SIN(Q166)-4586*SIN(Q166-2*S166)+2370*SIN(2*S166)+769*SIN(2*Q166)-668*SIN(R166)-412*SIN(2*T166)-212*SIN(2*Q166-2*S166)-206*SIN(Q166+R166-2*S166)+192*SIN(Q166+2*S166)-165*SIN(R166-2*S166)-125*SIN(S166)-110*SIN(Q166+R166)+148*SIN(Q166-R166)-55*SIN(2*T166-2*S166)</f>
        <v>-15808.1870539486</v>
      </c>
      <c r="Q166" s="18" t="n">
        <f aca="false">2*PI()*(0.374897+1325.55241*M166 - INT(0.374897+1325.55241*M166))</f>
        <v>4.07166506191489</v>
      </c>
      <c r="R166" s="26" t="n">
        <f aca="false">2*PI()*(0.99312619+99.99735956*M166 - 0.00000044*M166^2 - INT(0.99312619+99.99735956*M166- 0.00000044*M166^2))</f>
        <v>5.00193863526323</v>
      </c>
      <c r="S166" s="26" t="n">
        <f aca="false">2*PI()*(0.827361+1236.853086*M166 - INT(0.827361+1236.853086*M166))</f>
        <v>5.49079243508873</v>
      </c>
      <c r="T166" s="26" t="n">
        <f aca="false">2*PI()*(0.259086+1342.227825*M166 - INT(0.259086+1342.227825*M166))</f>
        <v>2.10362774218173</v>
      </c>
      <c r="U166" s="26" t="n">
        <f aca="false">T166+(P166+412*SIN(2*T166)+541*SIN(R166))/206264.8062</f>
        <v>2.02272585598707</v>
      </c>
      <c r="V166" s="26" t="n">
        <f aca="false">T166-2*S166</f>
        <v>-8.87795712799574</v>
      </c>
      <c r="W166" s="25" t="n">
        <f aca="false">-526*SIN(V166)+44*SIN(Q166+V166)-31*SIN(-Q166+V166)-23*SIN(R166+V166)+11*SIN(-R166+V166)-25*SIN(-2*Q166+T166)+21*SIN(-Q166+T166)</f>
        <v>277.461151910259</v>
      </c>
      <c r="X166" s="26" t="n">
        <f aca="false">2*PI()*(O166+P166/1296000-INT(O166+P166/1296000))</f>
        <v>2.79481510181802</v>
      </c>
      <c r="Y166" s="26" t="n">
        <f aca="false">(18520*SIN(U166)+W166)/206264.8062</f>
        <v>0.082118551022621</v>
      </c>
      <c r="Z166" s="26" t="n">
        <f aca="false">Y166*180/PI()</f>
        <v>4.7050463933259</v>
      </c>
      <c r="AA166" s="26" t="n">
        <f aca="false">COS(Y166)*COS(X166)</f>
        <v>-0.937303566950321</v>
      </c>
      <c r="AB166" s="26" t="n">
        <f aca="false">COS(Y166)*SIN(X166)</f>
        <v>0.338723650496757</v>
      </c>
      <c r="AC166" s="26" t="n">
        <f aca="false">SIN(Y166)</f>
        <v>0.0820262883248794</v>
      </c>
      <c r="AD166" s="26" t="n">
        <f aca="false">COS($A$4*(23.4393-46.815*M166/3600))*AB166-SIN($A$4*(23.4393-46.815*M166/3600))*AC166</f>
        <v>0.278155525203404</v>
      </c>
      <c r="AE166" s="26" t="n">
        <f aca="false">SIN($A$4*(23.4393-46.815*M166/3600))*AB166+COS($A$4*(23.4393-46.815*M166/3600))*AC166</f>
        <v>0.209979825652428</v>
      </c>
      <c r="AF166" s="26" t="n">
        <f aca="false">SQRT(1-AE166*AE166)</f>
        <v>0.977705718925166</v>
      </c>
      <c r="AG166" s="10" t="n">
        <f aca="false">ATAN(AE166/AF166)/$A$4</f>
        <v>12.1211699795029</v>
      </c>
      <c r="AH166" s="26" t="n">
        <f aca="false">IF(24*ATAN(AD166/(AA166+AF166))/PI()&gt;0,24*ATAN(AD166/(AA166+AF166))/PI(),24*ATAN(AD166/(AA166+AF166))/PI()+24)</f>
        <v>10.8980762385457</v>
      </c>
      <c r="AI166" s="10" t="n">
        <f aca="false">IF(N166-15*AH166&gt;0,N166-15*AH166,360+N166-15*AH166)</f>
        <v>46.4464087933242</v>
      </c>
      <c r="AJ166" s="18" t="n">
        <f aca="false">0.950724+0.051818*COS(Q166)+0.009531*COS(2*S166-Q166)+0.007843*COS(2*S166)+0.002824*COS(2*Q166)+0.000857*COS(2*S166+Q166)+0.000533*COS(2*S166-R166)+0.000401*COS(2*S166-R166-Q166)+0.00032*COS(Q166-R166)-0.000271*COS(S166)</f>
        <v>0.926249704800624</v>
      </c>
      <c r="AK166" s="50" t="n">
        <f aca="false">ASIN(COS($A$4*$G$2)*COS($A$4*AG166)*COS($A$4*AI166)+SIN($A$4*$G$2)*SIN($A$4*AG166))/$A$4</f>
        <v>32.5524883391581</v>
      </c>
      <c r="AL166" s="18" t="n">
        <f aca="false">ASIN((0.9983271+0.0016764*COS($A$4*2*$G$2))*COS($A$4*AK166)*SIN($A$4*AJ166))/$A$4</f>
        <v>0.780328062289711</v>
      </c>
      <c r="AM166" s="18" t="n">
        <f aca="false">AK166-AL166</f>
        <v>31.7721602768684</v>
      </c>
      <c r="AN166" s="10" t="n">
        <f aca="false"> IF(280.4664567 + 360007.6982779*M166/10 + 0.03032028*M166^2/100 + M166^3/49931000&lt;0,MOD(280.4664567 + 360007.6982779*M166/10 + 0.03032028*M166^2/100 + M166^3/49931000+360,360),MOD(280.4664567 + 360007.6982779*M166/10 + 0.03032028*M166^2/100 + M166^3/49931000,360))</f>
        <v>209.923334771109</v>
      </c>
      <c r="AO166" s="27" t="n">
        <f aca="false"> AN166 + (1.9146 - 0.004817*M166 - 0.000014*M166^2)*SIN(R166)+ (0.019993 - 0.000101*M166)*SIN(2*R166)+ 0.00029*SIN(3*R166)</f>
        <v>208.078746423858</v>
      </c>
      <c r="AP166" s="18" t="n">
        <f aca="false">ACOS(COS(X166-$A$4*AO166)*COS(Y166))/$A$4</f>
        <v>48.1215660211421</v>
      </c>
      <c r="AQ166" s="25" t="n">
        <f aca="false">180 - AP166 -0.1468*(1-0.0549*SIN(R166))*SIN($A$4*AP166)/(1-0.0167*SIN($A$4*AO166))</f>
        <v>131.764278583426</v>
      </c>
      <c r="AR166" s="25" t="n">
        <f aca="false">SIN($A$4*AI166)</f>
        <v>0.724730206164865</v>
      </c>
      <c r="AS166" s="25" t="n">
        <f aca="false">COS($A$4*AI166)*SIN($A$4*$G$2) - TAN($A$4*AG166)*COS($A$4*$G$2)</f>
        <v>-0.466921457955416</v>
      </c>
      <c r="AT166" s="25" t="n">
        <f aca="false">IF(OR(AND(AR166*AS166&gt;0), AND(AR166&lt;0,AS166&gt;0)), MOD(ATAN2(AS166,AR166)/$A$4+360,360),  ATAN2(AS166,AR166)/$A$4)</f>
        <v>122.792442328861</v>
      </c>
      <c r="AU166" s="29" t="n">
        <f aca="false">(1+SIN($A$4*H166)*SIN($A$4*AJ166))*120*ASIN(0.272481*SIN($A$4*AJ166))/$A$4</f>
        <v>30.5428116772784</v>
      </c>
      <c r="AV166" s="10" t="n">
        <f aca="false">COS(X166)</f>
        <v>-0.940472804067144</v>
      </c>
      <c r="AW166" s="10" t="n">
        <f aca="false">SIN(X166)</f>
        <v>0.339868952406781</v>
      </c>
      <c r="AX166" s="30" t="n">
        <f aca="false"> 385000.56 + (-20905355*COS(Q166) - 3699111*COS(2*S166-Q166) - 2955968*COS(2*S166) - 569925*COS(2*Q166) + (1-0.002516*M166)*48888*COS(R166) - 3149*COS(2*T166)  +246158*COS(2*S166-2*Q166) -(1-0.002516*M166)*152138*COS(2*S166-R166-Q166) -170733*COS(2*S166+Q166) -(1-0.002516*M166)*204586*COS(2*S166-R166) -(1-0.002516*M166)*129620*COS(R166-Q166)  + 108743*COS(S166) +(1-0.002516*M166)*104755*COS(R166+Q166) +10321*COS(2*S166-2*T166) +79661*COS(Q166-2*T166) -34782*COS(4*S166-Q166) -23210*COS(3*Q166)  -21636*COS(4*S166-2*Q166) +(1-0.002516*M166)*24208*COS(2*S166+R166-Q166) +(1-0.002516*M166)*30824*COS(2*S166+R166) -8379*COS(S166-Q166) -(1-0.002516*M166)*16675*COS(S166+R166)  -(1-0.002516*M166)*12831*COS(2*S166-R166+Q166) -10445*COS(2*S166+2*Q166) -11650*COS(4*S166) +14403*COS(2*S166-3*Q166) -(1-0.002516*M166)*7003*COS(R166-2*Q166)  + (1-0.002516*M166)*10056*COS(2*S166-R166-2*Q166) +6322*COS(S166+Q166) -(1-0.002516*M166)*(1-0.002516*M166)*9884*COS(2*S166-2*R166) +(1-0.002516*M166)*5751*COS(R166+2*Q166) -(1-0.002516*M166)*(1-0.002516*M166)*4950*COS(2*S166-2*R166-Q166)  +4130*COS(2*S166+Q166-2*T166) -(1-0.002516*M166)*3958*COS(4*S166-R166-Q166) +3258*COS(3*S166-Q166) +(1-0.002516*M166)*2616*COS(2*S166+R166+Q166) -(1-0.002516*M166)*1897*COS(4*S166-R166-2*Q166)  -(1-0.002516*M166)*(1-0.002516*M166)*2117*COS(2*R166-Q166) +(1-0.002516*M166)*(1-0.002516*M166)*2354*COS(2*S166+2*R166-Q166) -1423*COS(4*S166+Q166) -1117*COS(4*Q166) -(1-0.002516*M166)*1571*COS(4*S166-R166)  -1739*COS(S166-2*Q166) -4421*COS(2*Q166-2*T166) +(1-0.002516*M166)*(1-0.002516*M166)*1165*COS(2*R166+Q166) +8752*COS(2*S166-Q166-2*T166))/1000</f>
        <v>394424.696845244</v>
      </c>
      <c r="AY166" s="10" t="n">
        <f aca="false">AY165+1/8</f>
        <v>21.5</v>
      </c>
      <c r="AZ166" s="17" t="n">
        <f aca="false">AZ165+1</f>
        <v>165</v>
      </c>
      <c r="BA166" s="32" t="n">
        <f aca="false">ATAN(0.99664719*TAN($A$4*input!$E$2))</f>
        <v>-0.400219206115995</v>
      </c>
      <c r="BB166" s="32" t="n">
        <f aca="false">COS(BA166)</f>
        <v>0.920975608992155</v>
      </c>
      <c r="BC166" s="32" t="n">
        <f aca="false">0.99664719*SIN(BA166)</f>
        <v>-0.388313912533463</v>
      </c>
      <c r="BD166" s="32" t="n">
        <f aca="false">6378.14/AX166</f>
        <v>0.0161707419718257</v>
      </c>
      <c r="BE166" s="33" t="n">
        <f aca="false">MOD(N166-15*AH166,360)</f>
        <v>46.4464087933242</v>
      </c>
      <c r="BF166" s="27" t="n">
        <f aca="false">COS($A$4*AG166)*SIN($A$4*BE166)</f>
        <v>0.708572867245203</v>
      </c>
      <c r="BG166" s="27" t="n">
        <f aca="false">COS($A$4*AG166)*COS($A$4*BE166)-BB166*BD166</f>
        <v>0.658778399634346</v>
      </c>
      <c r="BH166" s="27" t="n">
        <f aca="false">SIN($A$4*AG166)-BC166*BD166</f>
        <v>0.216259149736077</v>
      </c>
      <c r="BI166" s="46" t="n">
        <f aca="false">SQRT(BF166^2+BG166^2+BH166^2)</f>
        <v>0.991379093921921</v>
      </c>
      <c r="BJ166" s="35" t="n">
        <f aca="false">AX166*BI166</f>
        <v>391024.398578866</v>
      </c>
    </row>
    <row r="167" customFormat="false" ht="15" hidden="false" customHeight="false" outlineLevel="0" collapsed="false">
      <c r="A167" s="20"/>
      <c r="B167" s="20"/>
      <c r="C167" s="15" t="n">
        <f aca="false">MOD(C166+3,24)</f>
        <v>15</v>
      </c>
      <c r="D167" s="17" t="n">
        <v>21</v>
      </c>
      <c r="E167" s="102" t="n">
        <f aca="false">input!$C$2</f>
        <v>10</v>
      </c>
      <c r="F167" s="102" t="n">
        <f aca="false">input!$D$2</f>
        <v>2022</v>
      </c>
      <c r="H167" s="39" t="n">
        <f aca="false">AM167</f>
        <v>-5.48845436698734</v>
      </c>
      <c r="I167" s="48" t="n">
        <f aca="false">H167+1.02/(TAN($A$4*(H167+10.3/(H167+5.11)))*60)</f>
        <v>-5.51493009833608</v>
      </c>
      <c r="J167" s="39" t="n">
        <f aca="false">100*(1+COS($A$4*AQ167))/2</f>
        <v>15.769647967766</v>
      </c>
      <c r="K167" s="48" t="n">
        <f aca="false">IF(AI167&gt;180,AT167-180,AT167+180)</f>
        <v>280.524871858486</v>
      </c>
      <c r="L167" s="10" t="n">
        <f aca="false">L166+1/8</f>
        <v>2459874.125</v>
      </c>
      <c r="M167" s="49" t="n">
        <f aca="false">(L167-2451545)/36525</f>
        <v>0.228039014373717</v>
      </c>
      <c r="N167" s="15" t="n">
        <f aca="false">MOD(280.46061837+360.98564736629*(L167-2451545)+0.000387933*M167^2-M167^3/38710000+$G$4,360)</f>
        <v>255.040758293122</v>
      </c>
      <c r="O167" s="18" t="n">
        <f aca="false">0.60643382+1336.85522467*M167 - 0.00000313*M167^2 - INT(0.60643382+1336.85522467*M167 - 0.00000313*M167^2)</f>
        <v>0.461581451334723</v>
      </c>
      <c r="P167" s="15" t="n">
        <f aca="false">22640*SIN(Q167)-4586*SIN(Q167-2*S167)+2370*SIN(2*S167)+769*SIN(2*Q167)-668*SIN(R167)-412*SIN(2*T167)-212*SIN(2*Q167-2*S167)-206*SIN(Q167+R167-2*S167)+192*SIN(Q167+2*S167)-165*SIN(R167-2*S167)-125*SIN(S167)-110*SIN(Q167+R167)+148*SIN(Q167-R167)-55*SIN(2*T167-2*S167)</f>
        <v>-16099.8262736052</v>
      </c>
      <c r="Q167" s="18" t="n">
        <f aca="false">2*PI()*(0.374897+1325.55241*M167 - INT(0.374897+1325.55241*M167))</f>
        <v>4.10016845488669</v>
      </c>
      <c r="R167" s="26" t="n">
        <f aca="false">2*PI()*(0.99312619+99.99735956*M167 - 0.00000044*M167^2 - INT(0.99312619+99.99735956*M167- 0.00000044*M167^2))</f>
        <v>5.00408888146134</v>
      </c>
      <c r="S167" s="26" t="n">
        <f aca="false">2*PI()*(0.827361+1236.853086*M167 - INT(0.827361+1236.853086*M167))</f>
        <v>5.51738852385365</v>
      </c>
      <c r="T167" s="26" t="n">
        <f aca="false">2*PI()*(0.259086+1342.227825*M167 - INT(0.259086+1342.227825*M167))</f>
        <v>2.13248970709913</v>
      </c>
      <c r="U167" s="26" t="n">
        <f aca="false">T167+(P167+412*SIN(2*T167)+541*SIN(R167))/206264.8062</f>
        <v>2.05012267618821</v>
      </c>
      <c r="V167" s="26" t="n">
        <f aca="false">T167-2*S167</f>
        <v>-8.90228734060818</v>
      </c>
      <c r="W167" s="25" t="n">
        <f aca="false">-526*SIN(V167)+44*SIN(Q167+V167)-31*SIN(-Q167+V167)-23*SIN(R167+V167)+11*SIN(-R167+V167)-25*SIN(-2*Q167+T167)+21*SIN(-Q167+T167)</f>
        <v>268.205764591192</v>
      </c>
      <c r="X167" s="26" t="n">
        <f aca="false">2*PI()*(O167+P167/1296000-INT(O167+P167/1296000))</f>
        <v>2.82214763268366</v>
      </c>
      <c r="Y167" s="26" t="n">
        <f aca="false">(18520*SIN(U167)+W167)/206264.8062</f>
        <v>0.0809692621616284</v>
      </c>
      <c r="Z167" s="26" t="n">
        <f aca="false">Y167*180/PI()</f>
        <v>4.63919699214962</v>
      </c>
      <c r="AA167" s="26" t="n">
        <f aca="false">COS(Y167)*COS(X167)</f>
        <v>-0.946299374021169</v>
      </c>
      <c r="AB167" s="26" t="n">
        <f aca="false">COS(Y167)*SIN(X167)</f>
        <v>0.313010843155742</v>
      </c>
      <c r="AC167" s="26" t="n">
        <f aca="false">SIN(Y167)</f>
        <v>0.0808808184557671</v>
      </c>
      <c r="AD167" s="26" t="n">
        <f aca="false">COS($A$4*(23.4393-46.815*M167/3600))*AB167-SIN($A$4*(23.4393-46.815*M167/3600))*AC167</f>
        <v>0.255019545630277</v>
      </c>
      <c r="AE167" s="26" t="n">
        <f aca="false">SIN($A$4*(23.4393-46.815*M167/3600))*AB167+COS($A$4*(23.4393-46.815*M167/3600))*AC167</f>
        <v>0.198702103848124</v>
      </c>
      <c r="AF167" s="26" t="n">
        <f aca="false">SQRT(1-AE167*AE167)</f>
        <v>0.980059933844012</v>
      </c>
      <c r="AG167" s="10" t="n">
        <f aca="false">ATAN(AE167/AF167)/$A$4</f>
        <v>11.4610718581539</v>
      </c>
      <c r="AH167" s="26" t="n">
        <f aca="false">IF(24*ATAN(AD167/(AA167+AF167))/PI()&gt;0,24*ATAN(AD167/(AA167+AF167))/PI(),24*ATAN(AD167/(AA167+AF167))/PI()+24)</f>
        <v>10.9945059223267</v>
      </c>
      <c r="AI167" s="10" t="n">
        <f aca="false">IF(N167-15*AH167&gt;0,N167-15*AH167,360+N167-15*AH167)</f>
        <v>90.1231694582216</v>
      </c>
      <c r="AJ167" s="18" t="n">
        <f aca="false">0.950724+0.051818*COS(Q167)+0.009531*COS(2*S167-Q167)+0.007843*COS(2*S167)+0.002824*COS(2*Q167)+0.000857*COS(2*S167+Q167)+0.000533*COS(2*S167-R167)+0.000401*COS(2*S167-R167-Q167)+0.00032*COS(Q167-R167)-0.000271*COS(S167)</f>
        <v>0.927530310488973</v>
      </c>
      <c r="AK167" s="50" t="n">
        <f aca="false">ASIN(COS($A$4*$G$2)*COS($A$4*AG167)*COS($A$4*AI167)+SIN($A$4*$G$2)*SIN($A$4*AG167))/$A$4</f>
        <v>-4.56433595489868</v>
      </c>
      <c r="AL167" s="18" t="n">
        <f aca="false">ASIN((0.9983271+0.0016764*COS($A$4*2*$G$2))*COS($A$4*AK167)*SIN($A$4*AJ167))/$A$4</f>
        <v>0.924118412088657</v>
      </c>
      <c r="AM167" s="18" t="n">
        <f aca="false">AK167-AL167</f>
        <v>-5.48845436698734</v>
      </c>
      <c r="AN167" s="10" t="n">
        <f aca="false"> IF(280.4664567 + 360007.6982779*M167/10 + 0.03032028*M167^2/100 + M167^3/49931000&lt;0,MOD(280.4664567 + 360007.6982779*M167/10 + 0.03032028*M167^2/100 + M167^3/49931000+360,360),MOD(280.4664567 + 360007.6982779*M167/10 + 0.03032028*M167^2/100 + M167^3/49931000,360))</f>
        <v>210.046540691594</v>
      </c>
      <c r="AO167" s="27" t="n">
        <f aca="false"> AN167 + (1.9146 - 0.004817*M167 - 0.000014*M167^2)*SIN(R167)+ (0.019993 - 0.000101*M167)*SIN(2*R167)+ 0.00029*SIN(3*R167)</f>
        <v>208.203058163844</v>
      </c>
      <c r="AP167" s="18" t="n">
        <f aca="false">ACOS(COS(X167-$A$4*AO167)*COS(Y167))/$A$4</f>
        <v>46.6837448426381</v>
      </c>
      <c r="AQ167" s="25" t="n">
        <f aca="false">180 - AP167 -0.1468*(1-0.0549*SIN(R167))*SIN($A$4*AP167)/(1-0.0167*SIN($A$4*AO167))</f>
        <v>133.204710955622</v>
      </c>
      <c r="AR167" s="25" t="n">
        <f aca="false">SIN($A$4*AI167)</f>
        <v>0.999997689368793</v>
      </c>
      <c r="AS167" s="25" t="n">
        <f aca="false">COS($A$4*AI167)*SIN($A$4*$G$2) - TAN($A$4*AG167)*COS($A$4*$G$2)</f>
        <v>-0.185787659056657</v>
      </c>
      <c r="AT167" s="25" t="n">
        <f aca="false">IF(OR(AND(AR167*AS167&gt;0), AND(AR167&lt;0,AS167&gt;0)), MOD(ATAN2(AS167,AR167)/$A$4+360,360),  ATAN2(AS167,AR167)/$A$4)</f>
        <v>100.524871858486</v>
      </c>
      <c r="AU167" s="29" t="n">
        <f aca="false">(1+SIN($A$4*H167)*SIN($A$4*AJ167))*120*ASIN(0.272481*SIN($A$4*AJ167))/$A$4</f>
        <v>30.2799455397189</v>
      </c>
      <c r="AV167" s="10" t="n">
        <f aca="false">COS(X167)</f>
        <v>-0.949409849755147</v>
      </c>
      <c r="AW167" s="10" t="n">
        <f aca="false">SIN(X167)</f>
        <v>0.314039706387439</v>
      </c>
      <c r="AX167" s="30" t="n">
        <f aca="false"> 385000.56 + (-20905355*COS(Q167) - 3699111*COS(2*S167-Q167) - 2955968*COS(2*S167) - 569925*COS(2*Q167) + (1-0.002516*M167)*48888*COS(R167) - 3149*COS(2*T167)  +246158*COS(2*S167-2*Q167) -(1-0.002516*M167)*152138*COS(2*S167-R167-Q167) -170733*COS(2*S167+Q167) -(1-0.002516*M167)*204586*COS(2*S167-R167) -(1-0.002516*M167)*129620*COS(R167-Q167)  + 108743*COS(S167) +(1-0.002516*M167)*104755*COS(R167+Q167) +10321*COS(2*S167-2*T167) +79661*COS(Q167-2*T167) -34782*COS(4*S167-Q167) -23210*COS(3*Q167)  -21636*COS(4*S167-2*Q167) +(1-0.002516*M167)*24208*COS(2*S167+R167-Q167) +(1-0.002516*M167)*30824*COS(2*S167+R167) -8379*COS(S167-Q167) -(1-0.002516*M167)*16675*COS(S167+R167)  -(1-0.002516*M167)*12831*COS(2*S167-R167+Q167) -10445*COS(2*S167+2*Q167) -11650*COS(4*S167) +14403*COS(2*S167-3*Q167) -(1-0.002516*M167)*7003*COS(R167-2*Q167)  + (1-0.002516*M167)*10056*COS(2*S167-R167-2*Q167) +6322*COS(S167+Q167) -(1-0.002516*M167)*(1-0.002516*M167)*9884*COS(2*S167-2*R167) +(1-0.002516*M167)*5751*COS(R167+2*Q167) -(1-0.002516*M167)*(1-0.002516*M167)*4950*COS(2*S167-2*R167-Q167)  +4130*COS(2*S167+Q167-2*T167) -(1-0.002516*M167)*3958*COS(4*S167-R167-Q167) +3258*COS(3*S167-Q167) +(1-0.002516*M167)*2616*COS(2*S167+R167+Q167) -(1-0.002516*M167)*1897*COS(4*S167-R167-2*Q167)  -(1-0.002516*M167)*(1-0.002516*M167)*2117*COS(2*R167-Q167) +(1-0.002516*M167)*(1-0.002516*M167)*2354*COS(2*S167+2*R167-Q167) -1423*COS(4*S167+Q167) -1117*COS(4*Q167) -(1-0.002516*M167)*1571*COS(4*S167-R167)  -1739*COS(S167-2*Q167) -4421*COS(2*Q167-2*T167) +(1-0.002516*M167)*(1-0.002516*M167)*1165*COS(2*R167+Q167) +8752*COS(2*S167-Q167-2*T167))/1000</f>
        <v>393875.060198398</v>
      </c>
      <c r="AY167" s="10" t="n">
        <f aca="false">AY166+1/8</f>
        <v>21.625</v>
      </c>
      <c r="AZ167" s="17" t="n">
        <f aca="false">AZ166+1</f>
        <v>166</v>
      </c>
      <c r="BA167" s="32" t="n">
        <f aca="false">ATAN(0.99664719*TAN($A$4*input!$E$2))</f>
        <v>-0.400219206115995</v>
      </c>
      <c r="BB167" s="32" t="n">
        <f aca="false">COS(BA167)</f>
        <v>0.920975608992155</v>
      </c>
      <c r="BC167" s="32" t="n">
        <f aca="false">0.99664719*SIN(BA167)</f>
        <v>-0.388313912533463</v>
      </c>
      <c r="BD167" s="32" t="n">
        <f aca="false">6378.14/AX167</f>
        <v>0.0161933075853731</v>
      </c>
      <c r="BE167" s="33" t="n">
        <f aca="false">MOD(N167-15*AH167,360)</f>
        <v>90.1231694582216</v>
      </c>
      <c r="BF167" s="27" t="n">
        <f aca="false">COS($A$4*AG167)*SIN($A$4*BE167)</f>
        <v>0.980057669286945</v>
      </c>
      <c r="BG167" s="27" t="n">
        <f aca="false">COS($A$4*AG167)*COS($A$4*BE167)-BB167*BD167</f>
        <v>-0.0170204868650458</v>
      </c>
      <c r="BH167" s="27" t="n">
        <f aca="false">SIN($A$4*AG167)-BC167*BD167</f>
        <v>0.204990190473458</v>
      </c>
      <c r="BI167" s="46" t="n">
        <f aca="false">SQRT(BF167^2+BG167^2+BH167^2)</f>
        <v>1.00141085988301</v>
      </c>
      <c r="BJ167" s="35" t="n">
        <f aca="false">AX167*BI167</f>
        <v>394430.76271975</v>
      </c>
    </row>
    <row r="168" customFormat="false" ht="15" hidden="false" customHeight="false" outlineLevel="0" collapsed="false">
      <c r="A168" s="20"/>
      <c r="B168" s="20"/>
      <c r="C168" s="15" t="n">
        <f aca="false">MOD(C167+3,24)</f>
        <v>18</v>
      </c>
      <c r="D168" s="17" t="n">
        <v>21</v>
      </c>
      <c r="E168" s="102" t="n">
        <f aca="false">input!$C$2</f>
        <v>10</v>
      </c>
      <c r="F168" s="102" t="n">
        <f aca="false">input!$D$2</f>
        <v>2022</v>
      </c>
      <c r="H168" s="39" t="n">
        <f aca="false">AM168</f>
        <v>-45.0139990643014</v>
      </c>
      <c r="I168" s="48" t="n">
        <f aca="false">H168+1.02/(TAN($A$4*(H168+10.3/(H168+5.11)))*60)</f>
        <v>-45.030838347991</v>
      </c>
      <c r="J168" s="39" t="n">
        <f aca="false">100*(1+COS($A$4*AQ168))/2</f>
        <v>14.8613634077929</v>
      </c>
      <c r="K168" s="48" t="n">
        <f aca="false">IF(AI168&gt;180,AT168-180,AT168+180)</f>
        <v>262.501895026703</v>
      </c>
      <c r="L168" s="10" t="n">
        <f aca="false">L167+1/8</f>
        <v>2459874.25</v>
      </c>
      <c r="M168" s="49" t="n">
        <f aca="false">(L168-2451545)/36525</f>
        <v>0.228042436687201</v>
      </c>
      <c r="N168" s="15" t="n">
        <f aca="false">MOD(280.46061837+360.98564736629*(L168-2451545)+0.000387933*M168^2-M168^3/38710000+$G$4,360)</f>
        <v>300.163964214269</v>
      </c>
      <c r="O168" s="18" t="n">
        <f aca="false">0.60643382+1336.85522467*M168 - 0.00000313*M168^2 - INT(0.60643382+1336.85522467*M168 - 0.00000313*M168^2)</f>
        <v>0.466156588991225</v>
      </c>
      <c r="P168" s="15" t="n">
        <f aca="false">22640*SIN(Q168)-4586*SIN(Q168-2*S168)+2370*SIN(2*S168)+769*SIN(2*Q168)-668*SIN(R168)-412*SIN(2*T168)-212*SIN(2*Q168-2*S168)-206*SIN(Q168+R168-2*S168)+192*SIN(Q168+2*S168)-165*SIN(R168-2*S168)-125*SIN(S168)-110*SIN(Q168+R168)+148*SIN(Q168-R168)-55*SIN(2*T168-2*S168)</f>
        <v>-16375.6340825498</v>
      </c>
      <c r="Q168" s="18" t="n">
        <f aca="false">2*PI()*(0.374897+1325.55241*M168 - INT(0.374897+1325.55241*M168))</f>
        <v>4.12867184785885</v>
      </c>
      <c r="R168" s="26" t="n">
        <f aca="false">2*PI()*(0.99312619+99.99735956*M168 - 0.00000044*M168^2 - INT(0.99312619+99.99735956*M168- 0.00000044*M168^2))</f>
        <v>5.00623912765942</v>
      </c>
      <c r="S168" s="26" t="n">
        <f aca="false">2*PI()*(0.827361+1236.853086*M168 - INT(0.827361+1236.853086*M168))</f>
        <v>5.54398461261822</v>
      </c>
      <c r="T168" s="26" t="n">
        <f aca="false">2*PI()*(0.259086+1342.227825*M168 - INT(0.259086+1342.227825*M168))</f>
        <v>2.16135167201653</v>
      </c>
      <c r="U168" s="26" t="n">
        <f aca="false">T168+(P168+412*SIN(2*T168)+541*SIN(R168))/206264.8062</f>
        <v>2.07760225963156</v>
      </c>
      <c r="V168" s="26" t="n">
        <f aca="false">T168-2*S168</f>
        <v>-8.92661755321991</v>
      </c>
      <c r="W168" s="25" t="n">
        <f aca="false">-526*SIN(V168)+44*SIN(Q168+V168)-31*SIN(-Q168+V168)-23*SIN(R168+V168)+11*SIN(-R168+V168)-25*SIN(-2*Q168+T168)+21*SIN(-Q168+T168)</f>
        <v>258.777201793092</v>
      </c>
      <c r="X168" s="26" t="n">
        <f aca="false">2*PI()*(O168+P168/1296000-INT(O168+P168/1296000))</f>
        <v>2.84955691639398</v>
      </c>
      <c r="Y168" s="26" t="n">
        <f aca="false">(18520*SIN(U168)+W168)/206264.8062</f>
        <v>0.0797557323792138</v>
      </c>
      <c r="Z168" s="26" t="n">
        <f aca="false">Y168*180/PI()</f>
        <v>4.56966685730384</v>
      </c>
      <c r="AA168" s="26" t="n">
        <f aca="false">COS(Y168)*COS(X168)</f>
        <v>-0.954615555136402</v>
      </c>
      <c r="AB168" s="26" t="n">
        <f aca="false">COS(Y168)*SIN(X168)</f>
        <v>0.286987179073558</v>
      </c>
      <c r="AC168" s="26" t="n">
        <f aca="false">SIN(Y168)</f>
        <v>0.079671205206278</v>
      </c>
      <c r="AD168" s="26" t="n">
        <f aca="false">COS($A$4*(23.4393-46.815*M168/3600))*AB168-SIN($A$4*(23.4393-46.815*M168/3600))*AC168</f>
        <v>0.231623865909908</v>
      </c>
      <c r="AE168" s="26" t="n">
        <f aca="false">SIN($A$4*(23.4393-46.815*M168/3600))*AB168+COS($A$4*(23.4393-46.815*M168/3600))*AC168</f>
        <v>0.187241893369427</v>
      </c>
      <c r="AF168" s="26" t="n">
        <f aca="false">SQRT(1-AE168*AE168)</f>
        <v>0.982313836493934</v>
      </c>
      <c r="AG168" s="10" t="n">
        <f aca="false">ATAN(AE168/AF168)/$A$4</f>
        <v>10.7918678175361</v>
      </c>
      <c r="AH168" s="26" t="n">
        <f aca="false">IF(24*ATAN(AD168/(AA168+AF168))/PI()&gt;0,24*ATAN(AD168/(AA168+AF168))/PI(),24*ATAN(AD168/(AA168+AF168))/PI()+24)</f>
        <v>11.0907706400496</v>
      </c>
      <c r="AI168" s="10" t="n">
        <f aca="false">IF(N168-15*AH168&gt;0,N168-15*AH168,360+N168-15*AH168)</f>
        <v>133.802404613525</v>
      </c>
      <c r="AJ168" s="18" t="n">
        <f aca="false">0.950724+0.051818*COS(Q168)+0.009531*COS(2*S168-Q168)+0.007843*COS(2*S168)+0.002824*COS(2*Q168)+0.000857*COS(2*S168+Q168)+0.000533*COS(2*S168-R168)+0.000401*COS(2*S168-R168-Q168)+0.00032*COS(Q168-R168)-0.000271*COS(S168)</f>
        <v>0.928836265444906</v>
      </c>
      <c r="AK168" s="50" t="n">
        <f aca="false">ASIN(COS($A$4*$G$2)*COS($A$4*AG168)*COS($A$4*AI168)+SIN($A$4*$G$2)*SIN($A$4*AG168))/$A$4</f>
        <v>-44.3501577318656</v>
      </c>
      <c r="AL168" s="18" t="n">
        <f aca="false">ASIN((0.9983271+0.0016764*COS($A$4*2*$G$2))*COS($A$4*AK168)*SIN($A$4*AJ168))/$A$4</f>
        <v>0.663841332435823</v>
      </c>
      <c r="AM168" s="18" t="n">
        <f aca="false">AK168-AL168</f>
        <v>-45.0139990643014</v>
      </c>
      <c r="AN168" s="10" t="n">
        <f aca="false"> IF(280.4664567 + 360007.6982779*M168/10 + 0.03032028*M168^2/100 + M168^3/49931000&lt;0,MOD(280.4664567 + 360007.6982779*M168/10 + 0.03032028*M168^2/100 + M168^3/49931000+360,360),MOD(280.4664567 + 360007.6982779*M168/10 + 0.03032028*M168^2/100 + M168^3/49931000,360))</f>
        <v>210.16974661208</v>
      </c>
      <c r="AO168" s="27" t="n">
        <f aca="false"> AN168 + (1.9146 - 0.004817*M168 - 0.000014*M168^2)*SIN(R168)+ (0.019993 - 0.000101*M168)*SIN(2*R168)+ 0.00029*SIN(3*R168)</f>
        <v>208.327378572973</v>
      </c>
      <c r="AP168" s="18" t="n">
        <f aca="false">ACOS(COS(X168-$A$4*AO168)*COS(Y168))/$A$4</f>
        <v>45.2412595559709</v>
      </c>
      <c r="AQ168" s="25" t="n">
        <f aca="false">180 - AP168 -0.1468*(1-0.0549*SIN(R168))*SIN($A$4*AP168)/(1-0.0167*SIN($A$4*AO168))</f>
        <v>134.649886147153</v>
      </c>
      <c r="AR168" s="25" t="n">
        <f aca="false">SIN($A$4*AI168)</f>
        <v>0.721731179305064</v>
      </c>
      <c r="AS168" s="25" t="n">
        <f aca="false">COS($A$4*AI168)*SIN($A$4*$G$2) - TAN($A$4*AG168)*COS($A$4*$G$2)</f>
        <v>0.0949934278433403</v>
      </c>
      <c r="AT168" s="25" t="n">
        <f aca="false">IF(OR(AND(AR168*AS168&gt;0), AND(AR168&lt;0,AS168&gt;0)), MOD(ATAN2(AS168,AR168)/$A$4+360,360),  ATAN2(AS168,AR168)/$A$4)</f>
        <v>82.5018950267028</v>
      </c>
      <c r="AU168" s="29" t="n">
        <f aca="false">(1+SIN($A$4*H168)*SIN($A$4*AJ168))*120*ASIN(0.272481*SIN($A$4*AJ168))/$A$4</f>
        <v>30.0213975593162</v>
      </c>
      <c r="AV168" s="10" t="n">
        <f aca="false">COS(X168)</f>
        <v>-0.957659766745029</v>
      </c>
      <c r="AW168" s="10" t="n">
        <f aca="false">SIN(X168)</f>
        <v>0.287902363932386</v>
      </c>
      <c r="AX168" s="30" t="n">
        <f aca="false"> 385000.56 + (-20905355*COS(Q168) - 3699111*COS(2*S168-Q168) - 2955968*COS(2*S168) - 569925*COS(2*Q168) + (1-0.002516*M168)*48888*COS(R168) - 3149*COS(2*T168)  +246158*COS(2*S168-2*Q168) -(1-0.002516*M168)*152138*COS(2*S168-R168-Q168) -170733*COS(2*S168+Q168) -(1-0.002516*M168)*204586*COS(2*S168-R168) -(1-0.002516*M168)*129620*COS(R168-Q168)  + 108743*COS(S168) +(1-0.002516*M168)*104755*COS(R168+Q168) +10321*COS(2*S168-2*T168) +79661*COS(Q168-2*T168) -34782*COS(4*S168-Q168) -23210*COS(3*Q168)  -21636*COS(4*S168-2*Q168) +(1-0.002516*M168)*24208*COS(2*S168+R168-Q168) +(1-0.002516*M168)*30824*COS(2*S168+R168) -8379*COS(S168-Q168) -(1-0.002516*M168)*16675*COS(S168+R168)  -(1-0.002516*M168)*12831*COS(2*S168-R168+Q168) -10445*COS(2*S168+2*Q168) -11650*COS(4*S168) +14403*COS(2*S168-3*Q168) -(1-0.002516*M168)*7003*COS(R168-2*Q168)  + (1-0.002516*M168)*10056*COS(2*S168-R168-2*Q168) +6322*COS(S168+Q168) -(1-0.002516*M168)*(1-0.002516*M168)*9884*COS(2*S168-2*R168) +(1-0.002516*M168)*5751*COS(R168+2*Q168) -(1-0.002516*M168)*(1-0.002516*M168)*4950*COS(2*S168-2*R168-Q168)  +4130*COS(2*S168+Q168-2*T168) -(1-0.002516*M168)*3958*COS(4*S168-R168-Q168) +3258*COS(3*S168-Q168) +(1-0.002516*M168)*2616*COS(2*S168+R168+Q168) -(1-0.002516*M168)*1897*COS(4*S168-R168-2*Q168)  -(1-0.002516*M168)*(1-0.002516*M168)*2117*COS(2*R168-Q168) +(1-0.002516*M168)*(1-0.002516*M168)*2354*COS(2*S168+2*R168-Q168) -1423*COS(4*S168+Q168) -1117*COS(4*Q168) -(1-0.002516*M168)*1571*COS(4*S168-R168)  -1739*COS(S168-2*Q168) -4421*COS(2*Q168-2*T168) +(1-0.002516*M168)*(1-0.002516*M168)*1165*COS(2*R168+Q168) +8752*COS(2*S168-Q168-2*T168))/1000</f>
        <v>393317.016079683</v>
      </c>
      <c r="AY168" s="10" t="n">
        <f aca="false">AY167+1/8</f>
        <v>21.75</v>
      </c>
      <c r="AZ168" s="17" t="n">
        <f aca="false">AZ167+1</f>
        <v>167</v>
      </c>
      <c r="BA168" s="32" t="n">
        <f aca="false">ATAN(0.99664719*TAN($A$4*input!$E$2))</f>
        <v>-0.400219206115995</v>
      </c>
      <c r="BB168" s="32" t="n">
        <f aca="false">COS(BA168)</f>
        <v>0.920975608992155</v>
      </c>
      <c r="BC168" s="32" t="n">
        <f aca="false">0.99664719*SIN(BA168)</f>
        <v>-0.388313912533463</v>
      </c>
      <c r="BD168" s="32" t="n">
        <f aca="false">6378.14/AX168</f>
        <v>0.0162162828945795</v>
      </c>
      <c r="BE168" s="33" t="n">
        <f aca="false">MOD(N168-15*AH168,360)</f>
        <v>133.802404613525</v>
      </c>
      <c r="BF168" s="27" t="n">
        <f aca="false">COS($A$4*AG168)*SIN($A$4*BE168)</f>
        <v>0.708966523660449</v>
      </c>
      <c r="BG168" s="27" t="n">
        <f aca="false">COS($A$4*AG168)*COS($A$4*BE168)-BB168*BD168</f>
        <v>-0.694866372348077</v>
      </c>
      <c r="BH168" s="27" t="n">
        <f aca="false">SIN($A$4*AG168)-BC168*BD168</f>
        <v>0.193538901626971</v>
      </c>
      <c r="BI168" s="46" t="n">
        <f aca="false">SQRT(BF168^2+BG168^2+BH168^2)</f>
        <v>1.01140007590188</v>
      </c>
      <c r="BJ168" s="35" t="n">
        <f aca="false">AX168*BI168</f>
        <v>397800.859916493</v>
      </c>
    </row>
    <row r="169" customFormat="false" ht="15" hidden="false" customHeight="false" outlineLevel="0" collapsed="false">
      <c r="A169" s="20"/>
      <c r="B169" s="20"/>
      <c r="C169" s="15" t="n">
        <f aca="false">MOD(C168+3,24)</f>
        <v>21</v>
      </c>
      <c r="D169" s="17" t="n">
        <v>21</v>
      </c>
      <c r="E169" s="102" t="n">
        <f aca="false">input!$C$2</f>
        <v>10</v>
      </c>
      <c r="F169" s="102" t="n">
        <f aca="false">input!$D$2</f>
        <v>2022</v>
      </c>
      <c r="H169" s="39" t="n">
        <f aca="false">AM169</f>
        <v>-77.102156629304</v>
      </c>
      <c r="I169" s="48" t="n">
        <f aca="false">H169+1.02/(TAN($A$4*(H169+10.3/(H169+5.11)))*60)</f>
        <v>-77.1060048250497</v>
      </c>
      <c r="J169" s="39" t="n">
        <f aca="false">100*(1+COS($A$4*AQ169))/2</f>
        <v>13.9725059101566</v>
      </c>
      <c r="K169" s="48" t="n">
        <f aca="false">IF(AI169&gt;180,AT169-180,AT169+180)</f>
        <v>190.986061856144</v>
      </c>
      <c r="L169" s="10" t="n">
        <f aca="false">L168+1/8</f>
        <v>2459874.375</v>
      </c>
      <c r="M169" s="49" t="n">
        <f aca="false">(L169-2451545)/36525</f>
        <v>0.228045859000684</v>
      </c>
      <c r="N169" s="15" t="n">
        <f aca="false">MOD(280.46061837+360.98564736629*(L169-2451545)+0.000387933*M169^2-M169^3/38710000+$G$4,360)</f>
        <v>345.287170135882</v>
      </c>
      <c r="O169" s="18" t="n">
        <f aca="false">0.60643382+1336.85522467*M169 - 0.00000313*M169^2 - INT(0.60643382+1336.85522467*M169 - 0.00000313*M169^2)</f>
        <v>0.470731726647841</v>
      </c>
      <c r="P169" s="15" t="n">
        <f aca="false">22640*SIN(Q169)-4586*SIN(Q169-2*S169)+2370*SIN(2*S169)+769*SIN(2*Q169)-668*SIN(R169)-412*SIN(2*T169)-212*SIN(2*Q169-2*S169)-206*SIN(Q169+R169-2*S169)+192*SIN(Q169+2*S169)-165*SIN(R169-2*S169)-125*SIN(S169)-110*SIN(Q169+R169)+148*SIN(Q169-R169)-55*SIN(2*T169-2*S169)</f>
        <v>-16635.3066058935</v>
      </c>
      <c r="Q169" s="18" t="n">
        <f aca="false">2*PI()*(0.374897+1325.55241*M169 - INT(0.374897+1325.55241*M169))</f>
        <v>4.157175240831</v>
      </c>
      <c r="R169" s="26" t="n">
        <f aca="false">2*PI()*(0.99312619+99.99735956*M169 - 0.00000044*M169^2 - INT(0.99312619+99.99735956*M169- 0.00000044*M169^2))</f>
        <v>5.00838937385752</v>
      </c>
      <c r="S169" s="26" t="n">
        <f aca="false">2*PI()*(0.827361+1236.853086*M169 - INT(0.827361+1236.853086*M169))</f>
        <v>5.5705807013835</v>
      </c>
      <c r="T169" s="26" t="n">
        <f aca="false">2*PI()*(0.259086+1342.227825*M169 - INT(0.259086+1342.227825*M169))</f>
        <v>2.19021363693465</v>
      </c>
      <c r="U169" s="26" t="n">
        <f aca="false">T169+(P169+412*SIN(2*T169)+541*SIN(R169))/206264.8062</f>
        <v>2.10516623561786</v>
      </c>
      <c r="V169" s="26" t="n">
        <f aca="false">T169-2*S169</f>
        <v>-8.95094776583235</v>
      </c>
      <c r="W169" s="25" t="n">
        <f aca="false">-526*SIN(V169)+44*SIN(Q169+V169)-31*SIN(-Q169+V169)-23*SIN(R169+V169)+11*SIN(-R169+V169)-25*SIN(-2*Q169+T169)+21*SIN(-Q169+T169)</f>
        <v>249.177661687165</v>
      </c>
      <c r="X169" s="26" t="n">
        <f aca="false">2*PI()*(O169+P169/1296000-INT(O169+P169/1296000))</f>
        <v>2.8770444261771</v>
      </c>
      <c r="Y169" s="26" t="n">
        <f aca="false">(18520*SIN(U169)+W169)/206264.8062</f>
        <v>0.0784782401479564</v>
      </c>
      <c r="Z169" s="26" t="n">
        <f aca="false">Y169*180/PI()</f>
        <v>4.49647194409204</v>
      </c>
      <c r="AA169" s="26" t="n">
        <f aca="false">COS(Y169)*COS(X169)</f>
        <v>-0.962239964586899</v>
      </c>
      <c r="AB169" s="26" t="n">
        <f aca="false">COS(Y169)*SIN(X169)</f>
        <v>0.260668467105292</v>
      </c>
      <c r="AC169" s="26" t="n">
        <f aca="false">SIN(Y169)</f>
        <v>0.0783977092062008</v>
      </c>
      <c r="AD169" s="26" t="n">
        <f aca="false">COS($A$4*(23.4393-46.815*M169/3600))*AB169-SIN($A$4*(23.4393-46.815*M169/3600))*AC169</f>
        <v>0.207982887047086</v>
      </c>
      <c r="AE169" s="26" t="n">
        <f aca="false">SIN($A$4*(23.4393-46.815*M169/3600))*AB169+COS($A$4*(23.4393-46.815*M169/3600))*AC169</f>
        <v>0.175605720998383</v>
      </c>
      <c r="AF169" s="26" t="n">
        <f aca="false">SQRT(1-AE169*AE169)</f>
        <v>0.984460578567084</v>
      </c>
      <c r="AG169" s="10" t="n">
        <f aca="false">ATAN(AE169/AF169)/$A$4</f>
        <v>10.1139092447334</v>
      </c>
      <c r="AH169" s="26" t="n">
        <f aca="false">IF(24*ATAN(AD169/(AA169+AF169))/PI()&gt;0,24*ATAN(AD169/(AA169+AF169))/PI(),24*ATAN(AD169/(AA169+AF169))/PI()+24)</f>
        <v>11.1868970816247</v>
      </c>
      <c r="AI169" s="10" t="n">
        <f aca="false">IF(N169-15*AH169&gt;0,N169-15*AH169,360+N169-15*AH169)</f>
        <v>177.483713911512</v>
      </c>
      <c r="AJ169" s="18" t="n">
        <f aca="false">0.950724+0.051818*COS(Q169)+0.009531*COS(2*S169-Q169)+0.007843*COS(2*S169)+0.002824*COS(2*Q169)+0.000857*COS(2*S169+Q169)+0.000533*COS(2*S169-R169)+0.000401*COS(2*S169-R169-Q169)+0.00032*COS(Q169-R169)-0.000271*COS(S169)</f>
        <v>0.93016619976763</v>
      </c>
      <c r="AK169" s="50" t="n">
        <f aca="false">ASIN(COS($A$4*$G$2)*COS($A$4*AG169)*COS($A$4*AI169)+SIN($A$4*$G$2)*SIN($A$4*AG169))/$A$4</f>
        <v>-76.8913119035728</v>
      </c>
      <c r="AL169" s="18" t="n">
        <f aca="false">ASIN((0.9983271+0.0016764*COS($A$4*2*$G$2))*COS($A$4*AK169)*SIN($A$4*AJ169))/$A$4</f>
        <v>0.210844725731219</v>
      </c>
      <c r="AM169" s="18" t="n">
        <f aca="false">AK169-AL169</f>
        <v>-77.102156629304</v>
      </c>
      <c r="AN169" s="10" t="n">
        <f aca="false"> IF(280.4664567 + 360007.6982779*M169/10 + 0.03032028*M169^2/100 + M169^3/49931000&lt;0,MOD(280.4664567 + 360007.6982779*M169/10 + 0.03032028*M169^2/100 + M169^3/49931000+360,360),MOD(280.4664567 + 360007.6982779*M169/10 + 0.03032028*M169^2/100 + M169^3/49931000,360))</f>
        <v>210.292952532567</v>
      </c>
      <c r="AO169" s="27" t="n">
        <f aca="false"> AN169 + (1.9146 - 0.004817*M169 - 0.000014*M169^2)*SIN(R169)+ (0.019993 - 0.000101*M169)*SIN(2*R169)+ 0.00029*SIN(3*R169)</f>
        <v>208.451707647137</v>
      </c>
      <c r="AP169" s="18" t="n">
        <f aca="false">ACOS(COS(X169-$A$4*AO169)*COS(Y169))/$A$4</f>
        <v>43.794015088258</v>
      </c>
      <c r="AQ169" s="25" t="n">
        <f aca="false">180 - AP169 -0.1468*(1-0.0549*SIN(R169))*SIN($A$4*AP169)/(1-0.0167*SIN($A$4*AO169))</f>
        <v>136.099898374847</v>
      </c>
      <c r="AR169" s="25" t="n">
        <f aca="false">SIN($A$4*AI169)</f>
        <v>0.0439033609266891</v>
      </c>
      <c r="AS169" s="25" t="n">
        <f aca="false">COS($A$4*AI169)*SIN($A$4*$G$2) - TAN($A$4*AG169)*COS($A$4*$G$2)</f>
        <v>0.226156926857425</v>
      </c>
      <c r="AT169" s="25" t="n">
        <f aca="false">IF(OR(AND(AR169*AS169&gt;0), AND(AR169&lt;0,AS169&gt;0)), MOD(ATAN2(AS169,AR169)/$A$4+360,360),  ATAN2(AS169,AR169)/$A$4)</f>
        <v>10.9860618561439</v>
      </c>
      <c r="AU169" s="29" t="n">
        <f aca="false">(1+SIN($A$4*H169)*SIN($A$4*AJ169))*120*ASIN(0.272481*SIN($A$4*AJ169))/$A$4</f>
        <v>29.931815592446</v>
      </c>
      <c r="AV169" s="10" t="n">
        <f aca="false">COS(X169)</f>
        <v>-0.965210725818068</v>
      </c>
      <c r="AW169" s="10" t="n">
        <f aca="false">SIN(X169)</f>
        <v>0.261473239100599</v>
      </c>
      <c r="AX169" s="30" t="n">
        <f aca="false"> 385000.56 + (-20905355*COS(Q169) - 3699111*COS(2*S169-Q169) - 2955968*COS(2*S169) - 569925*COS(2*Q169) + (1-0.002516*M169)*48888*COS(R169) - 3149*COS(2*T169)  +246158*COS(2*S169-2*Q169) -(1-0.002516*M169)*152138*COS(2*S169-R169-Q169) -170733*COS(2*S169+Q169) -(1-0.002516*M169)*204586*COS(2*S169-R169) -(1-0.002516*M169)*129620*COS(R169-Q169)  + 108743*COS(S169) +(1-0.002516*M169)*104755*COS(R169+Q169) +10321*COS(2*S169-2*T169) +79661*COS(Q169-2*T169) -34782*COS(4*S169-Q169) -23210*COS(3*Q169)  -21636*COS(4*S169-2*Q169) +(1-0.002516*M169)*24208*COS(2*S169+R169-Q169) +(1-0.002516*M169)*30824*COS(2*S169+R169) -8379*COS(S169-Q169) -(1-0.002516*M169)*16675*COS(S169+R169)  -(1-0.002516*M169)*12831*COS(2*S169-R169+Q169) -10445*COS(2*S169+2*Q169) -11650*COS(4*S169) +14403*COS(2*S169-3*Q169) -(1-0.002516*M169)*7003*COS(R169-2*Q169)  + (1-0.002516*M169)*10056*COS(2*S169-R169-2*Q169) +6322*COS(S169+Q169) -(1-0.002516*M169)*(1-0.002516*M169)*9884*COS(2*S169-2*R169) +(1-0.002516*M169)*5751*COS(R169+2*Q169) -(1-0.002516*M169)*(1-0.002516*M169)*4950*COS(2*S169-2*R169-Q169)  +4130*COS(2*S169+Q169-2*T169) -(1-0.002516*M169)*3958*COS(4*S169-R169-Q169) +3258*COS(3*S169-Q169) +(1-0.002516*M169)*2616*COS(2*S169+R169+Q169) -(1-0.002516*M169)*1897*COS(4*S169-R169-2*Q169)  -(1-0.002516*M169)*(1-0.002516*M169)*2117*COS(2*R169-Q169) +(1-0.002516*M169)*(1-0.002516*M169)*2354*COS(2*S169+2*R169-Q169) -1423*COS(4*S169+Q169) -1117*COS(4*Q169) -(1-0.002516*M169)*1571*COS(4*S169-R169)  -1739*COS(S169-2*Q169) -4421*COS(2*Q169-2*T169) +(1-0.002516*M169)*(1-0.002516*M169)*1165*COS(2*R169+Q169) +8752*COS(2*S169-Q169-2*T169))/1000</f>
        <v>392751.247016213</v>
      </c>
      <c r="AY169" s="10" t="n">
        <f aca="false">AY168+1/8</f>
        <v>21.875</v>
      </c>
      <c r="AZ169" s="17" t="n">
        <f aca="false">AZ168+1</f>
        <v>168</v>
      </c>
      <c r="BA169" s="32" t="n">
        <f aca="false">ATAN(0.99664719*TAN($A$4*input!$E$2))</f>
        <v>-0.400219206115995</v>
      </c>
      <c r="BB169" s="32" t="n">
        <f aca="false">COS(BA169)</f>
        <v>0.920975608992155</v>
      </c>
      <c r="BC169" s="32" t="n">
        <f aca="false">0.99664719*SIN(BA169)</f>
        <v>-0.388313912533463</v>
      </c>
      <c r="BD169" s="32" t="n">
        <f aca="false">6378.14/AX169</f>
        <v>0.0162396428998142</v>
      </c>
      <c r="BE169" s="33" t="n">
        <f aca="false">MOD(N169-15*AH169,360)</f>
        <v>177.483713911512</v>
      </c>
      <c r="BF169" s="27" t="n">
        <f aca="false">COS($A$4*AG169)*SIN($A$4*BE169)</f>
        <v>0.0432211280989279</v>
      </c>
      <c r="BG169" s="27" t="n">
        <f aca="false">COS($A$4*AG169)*COS($A$4*BE169)-BB169*BD169</f>
        <v>-0.998467659549276</v>
      </c>
      <c r="BH169" s="27" t="n">
        <f aca="false">SIN($A$4*AG169)-BC169*BD169</f>
        <v>0.181911800270956</v>
      </c>
      <c r="BI169" s="46" t="n">
        <f aca="false">SQRT(BF169^2+BG169^2+BH169^2)</f>
        <v>1.01582362453222</v>
      </c>
      <c r="BJ169" s="35" t="n">
        <f aca="false">AX169*BI169</f>
        <v>398965.995283558</v>
      </c>
    </row>
    <row r="170" customFormat="false" ht="15" hidden="false" customHeight="false" outlineLevel="0" collapsed="false">
      <c r="A170" s="20"/>
      <c r="B170" s="20"/>
      <c r="C170" s="15" t="n">
        <f aca="false">MOD(C169+3,24)</f>
        <v>0</v>
      </c>
      <c r="D170" s="36" t="n">
        <v>22</v>
      </c>
      <c r="E170" s="102" t="n">
        <f aca="false">input!$C$2</f>
        <v>10</v>
      </c>
      <c r="F170" s="102" t="n">
        <f aca="false">input!$D$2</f>
        <v>2022</v>
      </c>
      <c r="H170" s="39" t="n">
        <f aca="false">AM170</f>
        <v>-49.000949547565</v>
      </c>
      <c r="I170" s="48" t="n">
        <f aca="false">H170+1.02/(TAN($A$4*(H170+10.3/(H170+5.11)))*60)</f>
        <v>-49.0156051196423</v>
      </c>
      <c r="J170" s="39" t="n">
        <f aca="false">100*(1+COS($A$4*AQ170))/2</f>
        <v>13.103820339209</v>
      </c>
      <c r="K170" s="48" t="n">
        <f aca="false">IF(AI170&gt;180,AT170-180,AT170+180)</f>
        <v>102.115072270759</v>
      </c>
      <c r="L170" s="10" t="n">
        <f aca="false">L169+1/8</f>
        <v>2459874.5</v>
      </c>
      <c r="M170" s="49" t="n">
        <f aca="false">(L170-2451545)/36525</f>
        <v>0.228049281314168</v>
      </c>
      <c r="N170" s="15" t="n">
        <f aca="false">MOD(280.46061837+360.98564736629*(L170-2451545)+0.000387933*M170^2-M170^3/38710000+$G$4,360)</f>
        <v>30.4103760574944</v>
      </c>
      <c r="O170" s="18" t="n">
        <f aca="false">0.60643382+1336.85522467*M170 - 0.00000313*M170^2 - INT(0.60643382+1336.85522467*M170 - 0.00000313*M170^2)</f>
        <v>0.475306864304343</v>
      </c>
      <c r="P170" s="15" t="n">
        <f aca="false">22640*SIN(Q170)-4586*SIN(Q170-2*S170)+2370*SIN(2*S170)+769*SIN(2*Q170)-668*SIN(R170)-412*SIN(2*T170)-212*SIN(2*Q170-2*S170)-206*SIN(Q170+R170-2*S170)+192*SIN(Q170+2*S170)-165*SIN(R170-2*S170)-125*SIN(S170)-110*SIN(Q170+R170)+148*SIN(Q170-R170)-55*SIN(2*T170-2*S170)</f>
        <v>-16878.5547437823</v>
      </c>
      <c r="Q170" s="18" t="n">
        <f aca="false">2*PI()*(0.374897+1325.55241*M170 - INT(0.374897+1325.55241*M170))</f>
        <v>4.1856786338028</v>
      </c>
      <c r="R170" s="26" t="n">
        <f aca="false">2*PI()*(0.99312619+99.99735956*M170 - 0.00000044*M170^2 - INT(0.99312619+99.99735956*M170- 0.00000044*M170^2))</f>
        <v>5.01053962005563</v>
      </c>
      <c r="S170" s="26" t="n">
        <f aca="false">2*PI()*(0.827361+1236.853086*M170 - INT(0.827361+1236.853086*M170))</f>
        <v>5.59717679014806</v>
      </c>
      <c r="T170" s="26" t="n">
        <f aca="false">2*PI()*(0.259086+1342.227825*M170 - INT(0.259086+1342.227825*M170))</f>
        <v>2.21907560185205</v>
      </c>
      <c r="U170" s="26" t="n">
        <f aca="false">T170+(P170+412*SIN(2*T170)+541*SIN(R170))/206264.8062</f>
        <v>2.13281614131166</v>
      </c>
      <c r="V170" s="26" t="n">
        <f aca="false">T170-2*S170</f>
        <v>-8.97527797844408</v>
      </c>
      <c r="W170" s="25" t="n">
        <f aca="false">-526*SIN(V170)+44*SIN(Q170+V170)-31*SIN(-Q170+V170)-23*SIN(R170+V170)+11*SIN(-R170+V170)-25*SIN(-2*Q170+T170)+21*SIN(-Q170+T170)</f>
        <v>239.409531791106</v>
      </c>
      <c r="X170" s="26" t="n">
        <f aca="false">2*PI()*(O170+P170/1296000-INT(O170+P170/1296000))</f>
        <v>2.90461156362723</v>
      </c>
      <c r="Y170" s="26" t="n">
        <f aca="false">(18520*SIN(U170)+W170)/206264.8062</f>
        <v>0.0771371152632969</v>
      </c>
      <c r="Z170" s="26" t="n">
        <f aca="false">Y170*180/PI()</f>
        <v>4.41963114840108</v>
      </c>
      <c r="AA170" s="26" t="n">
        <f aca="false">COS(Y170)*COS(X170)</f>
        <v>-0.969160666401257</v>
      </c>
      <c r="AB170" s="26" t="n">
        <f aca="false">COS(Y170)*SIN(X170)</f>
        <v>0.234071057924588</v>
      </c>
      <c r="AC170" s="26" t="n">
        <f aca="false">SIN(Y170)</f>
        <v>0.0770606419823744</v>
      </c>
      <c r="AD170" s="26" t="n">
        <f aca="false">COS($A$4*(23.4393-46.815*M170/3600))*AB170-SIN($A$4*(23.4393-46.815*M170/3600))*AC170</f>
        <v>0.184111486923269</v>
      </c>
      <c r="AE170" s="26" t="n">
        <f aca="false">SIN($A$4*(23.4393-46.815*M170/3600))*AB170+COS($A$4*(23.4393-46.815*M170/3600))*AC170</f>
        <v>0.163800375712556</v>
      </c>
      <c r="AF170" s="26" t="n">
        <f aca="false">SQRT(1-AE170*AE170)</f>
        <v>0.986493505764952</v>
      </c>
      <c r="AG170" s="10" t="n">
        <f aca="false">ATAN(AE170/AF170)/$A$4</f>
        <v>9.42755294925488</v>
      </c>
      <c r="AH170" s="26" t="n">
        <f aca="false">IF(24*ATAN(AD170/(AA170+AF170))/PI()&gt;0,24*ATAN(AD170/(AA170+AF170))/PI(),24*ATAN(AD170/(AA170+AF170))/PI()+24)</f>
        <v>11.2829126600305</v>
      </c>
      <c r="AI170" s="10" t="n">
        <f aca="false">IF(N170-15*AH170&gt;0,N170-15*AH170,360+N170-15*AH170)</f>
        <v>221.166686157037</v>
      </c>
      <c r="AJ170" s="18" t="n">
        <f aca="false">0.950724+0.051818*COS(Q170)+0.009531*COS(2*S170-Q170)+0.007843*COS(2*S170)+0.002824*COS(2*Q170)+0.000857*COS(2*S170+Q170)+0.000533*COS(2*S170-R170)+0.000401*COS(2*S170-R170-Q170)+0.00032*COS(Q170-R170)-0.000271*COS(S170)</f>
        <v>0.931518691441808</v>
      </c>
      <c r="AK170" s="50" t="n">
        <f aca="false">ASIN(COS($A$4*$G$2)*COS($A$4*AG170)*COS($A$4*AI170)+SIN($A$4*$G$2)*SIN($A$4*AG170))/$A$4</f>
        <v>-48.3826082087942</v>
      </c>
      <c r="AL170" s="18" t="n">
        <f aca="false">ASIN((0.9983271+0.0016764*COS($A$4*2*$G$2))*COS($A$4*AK170)*SIN($A$4*AJ170))/$A$4</f>
        <v>0.618341338770796</v>
      </c>
      <c r="AM170" s="18" t="n">
        <f aca="false">AK170-AL170</f>
        <v>-49.000949547565</v>
      </c>
      <c r="AN170" s="10" t="n">
        <f aca="false"> IF(280.4664567 + 360007.6982779*M170/10 + 0.03032028*M170^2/100 + M170^3/49931000&lt;0,MOD(280.4664567 + 360007.6982779*M170/10 + 0.03032028*M170^2/100 + M170^3/49931000+360,360),MOD(280.4664567 + 360007.6982779*M170/10 + 0.03032028*M170^2/100 + M170^3/49931000,360))</f>
        <v>210.416158453054</v>
      </c>
      <c r="AO170" s="27" t="n">
        <f aca="false"> AN170 + (1.9146 - 0.004817*M170 - 0.000014*M170^2)*SIN(R170)+ (0.019993 - 0.000101*M170)*SIN(2*R170)+ 0.00029*SIN(3*R170)</f>
        <v>208.576045382184</v>
      </c>
      <c r="AP170" s="18" t="n">
        <f aca="false">ACOS(COS(X170-$A$4*AO170)*COS(Y170))/$A$4</f>
        <v>42.3419214840899</v>
      </c>
      <c r="AQ170" s="25" t="n">
        <f aca="false">180 - AP170 -0.1468*(1-0.0549*SIN(R170))*SIN($A$4*AP170)/(1-0.0167*SIN($A$4*AO170))</f>
        <v>137.554836670319</v>
      </c>
      <c r="AR170" s="25" t="n">
        <f aca="false">SIN($A$4*AI170)</f>
        <v>-0.658251867502171</v>
      </c>
      <c r="AS170" s="25" t="n">
        <f aca="false">COS($A$4*AI170)*SIN($A$4*$G$2) - TAN($A$4*AG170)*COS($A$4*$G$2)</f>
        <v>0.141298101658874</v>
      </c>
      <c r="AT170" s="25" t="n">
        <f aca="false">IF(OR(AND(AR170*AS170&gt;0), AND(AR170&lt;0,AS170&gt;0)), MOD(ATAN2(AS170,AR170)/$A$4+360,360),  ATAN2(AS170,AR170)/$A$4)</f>
        <v>282.115072270759</v>
      </c>
      <c r="AU170" s="29" t="n">
        <f aca="false">(1+SIN($A$4*H170)*SIN($A$4*AJ170))*120*ASIN(0.272481*SIN($A$4*AJ170))/$A$4</f>
        <v>30.0835915720553</v>
      </c>
      <c r="AV170" s="10" t="n">
        <f aca="false">COS(X170)</f>
        <v>-0.972051150311552</v>
      </c>
      <c r="AW170" s="10" t="n">
        <f aca="false">SIN(X170)</f>
        <v>0.234769165730912</v>
      </c>
      <c r="AX170" s="30" t="n">
        <f aca="false"> 385000.56 + (-20905355*COS(Q170) - 3699111*COS(2*S170-Q170) - 2955968*COS(2*S170) - 569925*COS(2*Q170) + (1-0.002516*M170)*48888*COS(R170) - 3149*COS(2*T170)  +246158*COS(2*S170-2*Q170) -(1-0.002516*M170)*152138*COS(2*S170-R170-Q170) -170733*COS(2*S170+Q170) -(1-0.002516*M170)*204586*COS(2*S170-R170) -(1-0.002516*M170)*129620*COS(R170-Q170)  + 108743*COS(S170) +(1-0.002516*M170)*104755*COS(R170+Q170) +10321*COS(2*S170-2*T170) +79661*COS(Q170-2*T170) -34782*COS(4*S170-Q170) -23210*COS(3*Q170)  -21636*COS(4*S170-2*Q170) +(1-0.002516*M170)*24208*COS(2*S170+R170-Q170) +(1-0.002516*M170)*30824*COS(2*S170+R170) -8379*COS(S170-Q170) -(1-0.002516*M170)*16675*COS(S170+R170)  -(1-0.002516*M170)*12831*COS(2*S170-R170+Q170) -10445*COS(2*S170+2*Q170) -11650*COS(4*S170) +14403*COS(2*S170-3*Q170) -(1-0.002516*M170)*7003*COS(R170-2*Q170)  + (1-0.002516*M170)*10056*COS(2*S170-R170-2*Q170) +6322*COS(S170+Q170) -(1-0.002516*M170)*(1-0.002516*M170)*9884*COS(2*S170-2*R170) +(1-0.002516*M170)*5751*COS(R170+2*Q170) -(1-0.002516*M170)*(1-0.002516*M170)*4950*COS(2*S170-2*R170-Q170)  +4130*COS(2*S170+Q170-2*T170) -(1-0.002516*M170)*3958*COS(4*S170-R170-Q170) +3258*COS(3*S170-Q170) +(1-0.002516*M170)*2616*COS(2*S170+R170+Q170) -(1-0.002516*M170)*1897*COS(4*S170-R170-2*Q170)  -(1-0.002516*M170)*(1-0.002516*M170)*2117*COS(2*R170-Q170) +(1-0.002516*M170)*(1-0.002516*M170)*2354*COS(2*S170+2*R170-Q170) -1423*COS(4*S170+Q170) -1117*COS(4*Q170) -(1-0.002516*M170)*1571*COS(4*S170-R170)  -1739*COS(S170-2*Q170) -4421*COS(2*Q170-2*T170) +(1-0.002516*M170)*(1-0.002516*M170)*1165*COS(2*R170+Q170) +8752*COS(2*S170-Q170-2*T170))/1000</f>
        <v>392178.445606138</v>
      </c>
      <c r="AY170" s="10" t="n">
        <f aca="false">AY169+1/8</f>
        <v>22</v>
      </c>
      <c r="AZ170" s="17" t="n">
        <f aca="false">AZ169+1</f>
        <v>169</v>
      </c>
      <c r="BA170" s="32" t="n">
        <f aca="false">ATAN(0.99664719*TAN($A$4*input!$E$2))</f>
        <v>-0.400219206115995</v>
      </c>
      <c r="BB170" s="32" t="n">
        <f aca="false">COS(BA170)</f>
        <v>0.920975608992155</v>
      </c>
      <c r="BC170" s="32" t="n">
        <f aca="false">0.99664719*SIN(BA170)</f>
        <v>-0.388313912533463</v>
      </c>
      <c r="BD170" s="32" t="n">
        <f aca="false">6378.14/AX170</f>
        <v>0.0162633619248048</v>
      </c>
      <c r="BE170" s="33" t="n">
        <f aca="false">MOD(N170-15*AH170,360)</f>
        <v>221.166686157037</v>
      </c>
      <c r="BF170" s="27" t="n">
        <f aca="false">COS($A$4*AG170)*SIN($A$4*BE170)</f>
        <v>-0.649361192448544</v>
      </c>
      <c r="BG170" s="27" t="n">
        <f aca="false">COS($A$4*AG170)*COS($A$4*BE170)-BB170*BD170</f>
        <v>-0.757608268561983</v>
      </c>
      <c r="BH170" s="27" t="n">
        <f aca="false">SIN($A$4*AG170)-BC170*BD170</f>
        <v>0.170115665412525</v>
      </c>
      <c r="BI170" s="46" t="n">
        <f aca="false">SQRT(BF170^2+BG170^2+BH170^2)</f>
        <v>1.01221518782837</v>
      </c>
      <c r="BJ170" s="35" t="n">
        <f aca="false">AX170*BI170</f>
        <v>396968.978981456</v>
      </c>
    </row>
    <row r="171" customFormat="false" ht="15" hidden="false" customHeight="false" outlineLevel="0" collapsed="false">
      <c r="A171" s="20"/>
      <c r="B171" s="20"/>
      <c r="C171" s="15" t="n">
        <f aca="false">MOD(C170+3,24)</f>
        <v>3</v>
      </c>
      <c r="D171" s="17" t="n">
        <v>22</v>
      </c>
      <c r="E171" s="102" t="n">
        <f aca="false">input!$C$2</f>
        <v>10</v>
      </c>
      <c r="F171" s="102" t="n">
        <f aca="false">input!$D$2</f>
        <v>2022</v>
      </c>
      <c r="H171" s="39" t="n">
        <f aca="false">AM171</f>
        <v>-9.02774146025101</v>
      </c>
      <c r="I171" s="48" t="n">
        <f aca="false">H171+1.02/(TAN($A$4*(H171+10.3/(H171+5.11)))*60)</f>
        <v>-9.11014413574389</v>
      </c>
      <c r="J171" s="39" t="n">
        <f aca="false">100*(1+COS($A$4*AQ171))/2</f>
        <v>12.2560578041659</v>
      </c>
      <c r="K171" s="48" t="n">
        <f aca="false">IF(AI171&gt;180,AT171-180,AT171+180)</f>
        <v>83.905849644647</v>
      </c>
      <c r="L171" s="10" t="n">
        <f aca="false">L170+1/8</f>
        <v>2459874.625</v>
      </c>
      <c r="M171" s="49" t="n">
        <f aca="false">(L171-2451545)/36525</f>
        <v>0.228052703627652</v>
      </c>
      <c r="N171" s="15" t="n">
        <f aca="false">MOD(280.46061837+360.98564736629*(L171-2451545)+0.000387933*M171^2-M171^3/38710000+$G$4,360)</f>
        <v>75.5335819786415</v>
      </c>
      <c r="O171" s="18" t="n">
        <f aca="false">0.60643382+1336.85522467*M171 - 0.00000313*M171^2 - INT(0.60643382+1336.85522467*M171 - 0.00000313*M171^2)</f>
        <v>0.479882001960902</v>
      </c>
      <c r="P171" s="15" t="n">
        <f aca="false">22640*SIN(Q171)-4586*SIN(Q171-2*S171)+2370*SIN(2*S171)+769*SIN(2*Q171)-668*SIN(R171)-412*SIN(2*T171)-212*SIN(2*Q171-2*S171)-206*SIN(Q171+R171-2*S171)+192*SIN(Q171+2*S171)-165*SIN(R171-2*S171)-125*SIN(S171)-110*SIN(Q171+R171)+148*SIN(Q171-R171)-55*SIN(2*T171-2*S171)</f>
        <v>-17105.1049187766</v>
      </c>
      <c r="Q171" s="18" t="n">
        <f aca="false">2*PI()*(0.374897+1325.55241*M171 - INT(0.374897+1325.55241*M171))</f>
        <v>4.2141820267746</v>
      </c>
      <c r="R171" s="26" t="n">
        <f aca="false">2*PI()*(0.99312619+99.99735956*M171 - 0.00000044*M171^2 - INT(0.99312619+99.99735956*M171- 0.00000044*M171^2))</f>
        <v>5.01268986625371</v>
      </c>
      <c r="S171" s="26" t="n">
        <f aca="false">2*PI()*(0.827361+1236.853086*M171 - INT(0.827361+1236.853086*M171))</f>
        <v>5.62377287891299</v>
      </c>
      <c r="T171" s="26" t="n">
        <f aca="false">2*PI()*(0.259086+1342.227825*M171 - INT(0.259086+1342.227825*M171))</f>
        <v>2.24793756676945</v>
      </c>
      <c r="U171" s="26" t="n">
        <f aca="false">T171+(P171+412*SIN(2*T171)+541*SIN(R171))/206264.8062</f>
        <v>2.16055341767053</v>
      </c>
      <c r="V171" s="26" t="n">
        <f aca="false">T171-2*S171</f>
        <v>-8.99960819105652</v>
      </c>
      <c r="W171" s="25" t="n">
        <f aca="false">-526*SIN(V171)+44*SIN(Q171+V171)-31*SIN(-Q171+V171)-23*SIN(R171+V171)+11*SIN(-R171+V171)-25*SIN(-2*Q171+T171)+21*SIN(-Q171+T171)</f>
        <v>229.475396420329</v>
      </c>
      <c r="X171" s="26" t="n">
        <f aca="false">2*PI()*(O171+P171/1296000-INT(O171+P171/1296000))</f>
        <v>2.9322596550863</v>
      </c>
      <c r="Y171" s="26" t="n">
        <f aca="false">(18520*SIN(U171)+W171)/206264.8062</f>
        <v>0.0757327413029392</v>
      </c>
      <c r="Z171" s="26" t="n">
        <f aca="false">Y171*180/PI()</f>
        <v>4.3391664476145</v>
      </c>
      <c r="AA171" s="26" t="n">
        <f aca="false">COS(Y171)*COS(X171)</f>
        <v>-0.975365959791328</v>
      </c>
      <c r="AB171" s="26" t="n">
        <f aca="false">COS(Y171)*SIN(X171)</f>
        <v>0.207211855632964</v>
      </c>
      <c r="AC171" s="26" t="n">
        <f aca="false">SIN(Y171)</f>
        <v>0.0756603685259704</v>
      </c>
      <c r="AD171" s="26" t="n">
        <f aca="false">COS($A$4*(23.4393-46.815*M171/3600))*AB171-SIN($A$4*(23.4393-46.815*M171/3600))*AC171</f>
        <v>0.160025029927087</v>
      </c>
      <c r="AE171" s="26" t="n">
        <f aca="false">SIN($A$4*(23.4393-46.815*M171/3600))*AB171+COS($A$4*(23.4393-46.815*M171/3600))*AC171</f>
        <v>0.151832915657893</v>
      </c>
      <c r="AF171" s="26" t="n">
        <f aca="false">SQRT(1-AE171*AE171)</f>
        <v>0.988406174466157</v>
      </c>
      <c r="AG171" s="10" t="n">
        <f aca="false">ATAN(AE171/AF171)/$A$4</f>
        <v>8.73316166784296</v>
      </c>
      <c r="AH171" s="26" t="n">
        <f aca="false">IF(24*ATAN(AD171/(AA171+AF171))/PI()&gt;0,24*ATAN(AD171/(AA171+AF171))/PI(),24*ATAN(AD171/(AA171+AF171))/PI()+24)</f>
        <v>11.3788454756915</v>
      </c>
      <c r="AI171" s="10" t="n">
        <f aca="false">IF(N171-15*AH171&gt;0,N171-15*AH171,360+N171-15*AH171)</f>
        <v>264.850899843269</v>
      </c>
      <c r="AJ171" s="18" t="n">
        <f aca="false">0.950724+0.051818*COS(Q171)+0.009531*COS(2*S171-Q171)+0.007843*COS(2*S171)+0.002824*COS(2*Q171)+0.000857*COS(2*S171+Q171)+0.000533*COS(2*S171-R171)+0.000401*COS(2*S171-R171-Q171)+0.00032*COS(Q171-R171)-0.000271*COS(S171)</f>
        <v>0.932892267549049</v>
      </c>
      <c r="AK171" s="50" t="n">
        <f aca="false">ASIN(COS($A$4*$G$2)*COS($A$4*AG171)*COS($A$4*AI171)+SIN($A$4*$G$2)*SIN($A$4*AG171))/$A$4</f>
        <v>-8.10463705990081</v>
      </c>
      <c r="AL171" s="18" t="n">
        <f aca="false">ASIN((0.9983271+0.0016764*COS($A$4*2*$G$2))*COS($A$4*AK171)*SIN($A$4*AJ171))/$A$4</f>
        <v>0.923104400350208</v>
      </c>
      <c r="AM171" s="18" t="n">
        <f aca="false">AK171-AL171</f>
        <v>-9.02774146025101</v>
      </c>
      <c r="AN171" s="10" t="n">
        <f aca="false"> IF(280.4664567 + 360007.6982779*M171/10 + 0.03032028*M171^2/100 + M171^3/49931000&lt;0,MOD(280.4664567 + 360007.6982779*M171/10 + 0.03032028*M171^2/100 + M171^3/49931000+360,360),MOD(280.4664567 + 360007.6982779*M171/10 + 0.03032028*M171^2/100 + M171^3/49931000,360))</f>
        <v>210.539364373541</v>
      </c>
      <c r="AO171" s="27" t="n">
        <f aca="false"> AN171 + (1.9146 - 0.004817*M171 - 0.000014*M171^2)*SIN(R171)+ (0.019993 - 0.000101*M171)*SIN(2*R171)+ 0.00029*SIN(3*R171)</f>
        <v>208.700391773924</v>
      </c>
      <c r="AP171" s="18" t="n">
        <f aca="false">ACOS(COS(X171-$A$4*AO171)*COS(Y171))/$A$4</f>
        <v>40.8848942359099</v>
      </c>
      <c r="AQ171" s="25" t="n">
        <f aca="false">180 - AP171 -0.1468*(1-0.0549*SIN(R171))*SIN($A$4*AP171)/(1-0.0167*SIN($A$4*AO171))</f>
        <v>139.01478454616</v>
      </c>
      <c r="AR171" s="25" t="n">
        <f aca="false">SIN($A$4*AI171)</f>
        <v>-0.995964520880945</v>
      </c>
      <c r="AS171" s="25" t="n">
        <f aca="false">COS($A$4*AI171)*SIN($A$4*$G$2) - TAN($A$4*AG171)*COS($A$4*$G$2)</f>
        <v>-0.106335058481321</v>
      </c>
      <c r="AT171" s="25" t="n">
        <f aca="false">IF(OR(AND(AR171*AS171&gt;0), AND(AR171&lt;0,AS171&gt;0)), MOD(ATAN2(AS171,AR171)/$A$4+360,360),  ATAN2(AS171,AR171)/$A$4)</f>
        <v>263.905849644647</v>
      </c>
      <c r="AU171" s="29" t="n">
        <f aca="false">(1+SIN($A$4*H171)*SIN($A$4*AJ171))*120*ASIN(0.272481*SIN($A$4*AJ171))/$A$4</f>
        <v>30.4242770877389</v>
      </c>
      <c r="AV171" s="10" t="n">
        <f aca="false">COS(X171)</f>
        <v>-0.978169740220431</v>
      </c>
      <c r="AW171" s="10" t="n">
        <f aca="false">SIN(X171)</f>
        <v>0.207807505439756</v>
      </c>
      <c r="AX171" s="30" t="n">
        <f aca="false"> 385000.56 + (-20905355*COS(Q171) - 3699111*COS(2*S171-Q171) - 2955968*COS(2*S171) - 569925*COS(2*Q171) + (1-0.002516*M171)*48888*COS(R171) - 3149*COS(2*T171)  +246158*COS(2*S171-2*Q171) -(1-0.002516*M171)*152138*COS(2*S171-R171-Q171) -170733*COS(2*S171+Q171) -(1-0.002516*M171)*204586*COS(2*S171-R171) -(1-0.002516*M171)*129620*COS(R171-Q171)  + 108743*COS(S171) +(1-0.002516*M171)*104755*COS(R171+Q171) +10321*COS(2*S171-2*T171) +79661*COS(Q171-2*T171) -34782*COS(4*S171-Q171) -23210*COS(3*Q171)  -21636*COS(4*S171-2*Q171) +(1-0.002516*M171)*24208*COS(2*S171+R171-Q171) +(1-0.002516*M171)*30824*COS(2*S171+R171) -8379*COS(S171-Q171) -(1-0.002516*M171)*16675*COS(S171+R171)  -(1-0.002516*M171)*12831*COS(2*S171-R171+Q171) -10445*COS(2*S171+2*Q171) -11650*COS(4*S171) +14403*COS(2*S171-3*Q171) -(1-0.002516*M171)*7003*COS(R171-2*Q171)  + (1-0.002516*M171)*10056*COS(2*S171-R171-2*Q171) +6322*COS(S171+Q171) -(1-0.002516*M171)*(1-0.002516*M171)*9884*COS(2*S171-2*R171) +(1-0.002516*M171)*5751*COS(R171+2*Q171) -(1-0.002516*M171)*(1-0.002516*M171)*4950*COS(2*S171-2*R171-Q171)  +4130*COS(2*S171+Q171-2*T171) -(1-0.002516*M171)*3958*COS(4*S171-R171-Q171) +3258*COS(3*S171-Q171) +(1-0.002516*M171)*2616*COS(2*S171+R171+Q171) -(1-0.002516*M171)*1897*COS(4*S171-R171-2*Q171)  -(1-0.002516*M171)*(1-0.002516*M171)*2117*COS(2*R171-Q171) +(1-0.002516*M171)*(1-0.002516*M171)*2354*COS(2*S171+2*R171-Q171) -1423*COS(4*S171+Q171) -1117*COS(4*Q171) -(1-0.002516*M171)*1571*COS(4*S171-R171)  -1739*COS(S171-2*Q171) -4421*COS(2*Q171-2*T171) +(1-0.002516*M171)*(1-0.002516*M171)*1165*COS(2*R171+Q171) +8752*COS(2*S171-Q171-2*T171))/1000</f>
        <v>391599.313495585</v>
      </c>
      <c r="AY171" s="10" t="n">
        <f aca="false">AY170+1/8</f>
        <v>22.125</v>
      </c>
      <c r="AZ171" s="17" t="n">
        <f aca="false">AZ170+1</f>
        <v>170</v>
      </c>
      <c r="BA171" s="32" t="n">
        <f aca="false">ATAN(0.99664719*TAN($A$4*input!$E$2))</f>
        <v>-0.400219206115995</v>
      </c>
      <c r="BB171" s="32" t="n">
        <f aca="false">COS(BA171)</f>
        <v>0.920975608992155</v>
      </c>
      <c r="BC171" s="32" t="n">
        <f aca="false">0.99664719*SIN(BA171)</f>
        <v>-0.388313912533463</v>
      </c>
      <c r="BD171" s="32" t="n">
        <f aca="false">6378.14/AX171</f>
        <v>0.0162874136398911</v>
      </c>
      <c r="BE171" s="33" t="n">
        <f aca="false">MOD(N171-15*AH171,360)</f>
        <v>264.850899843269</v>
      </c>
      <c r="BF171" s="27" t="n">
        <f aca="false">COS($A$4*AG171)*SIN($A$4*BE171)</f>
        <v>-0.984417481987954</v>
      </c>
      <c r="BG171" s="27" t="n">
        <f aca="false">COS($A$4*AG171)*COS($A$4*BE171)-BB171*BD171</f>
        <v>-0.10370762087562</v>
      </c>
      <c r="BH171" s="27" t="n">
        <f aca="false">SIN($A$4*AG171)-BC171*BD171</f>
        <v>0.15815754497345</v>
      </c>
      <c r="BI171" s="46" t="n">
        <f aca="false">SQRT(BF171^2+BG171^2+BH171^2)</f>
        <v>1.00242049984186</v>
      </c>
      <c r="BJ171" s="35" t="n">
        <f aca="false">AX171*BI171</f>
        <v>392547.179571975</v>
      </c>
    </row>
    <row r="172" customFormat="false" ht="15" hidden="false" customHeight="false" outlineLevel="0" collapsed="false">
      <c r="A172" s="20"/>
      <c r="B172" s="20"/>
      <c r="C172" s="15" t="n">
        <f aca="false">MOD(C171+3,24)</f>
        <v>6</v>
      </c>
      <c r="D172" s="17" t="n">
        <v>22</v>
      </c>
      <c r="E172" s="102" t="n">
        <f aca="false">input!$C$2</f>
        <v>10</v>
      </c>
      <c r="F172" s="102" t="n">
        <f aca="false">input!$D$2</f>
        <v>2022</v>
      </c>
      <c r="H172" s="39" t="n">
        <f aca="false">AM172</f>
        <v>30.0801760314541</v>
      </c>
      <c r="I172" s="48" t="n">
        <f aca="false">H172+1.02/(TAN($A$4*(H172+10.3/(H172+5.11)))*60)</f>
        <v>30.1091832890227</v>
      </c>
      <c r="J172" s="39" t="n">
        <f aca="false">100*(1+COS($A$4*AQ172))/2</f>
        <v>11.4299749938948</v>
      </c>
      <c r="K172" s="48" t="n">
        <f aca="false">IF(AI172&gt;180,AT172-180,AT172+180)</f>
        <v>64.4876507030914</v>
      </c>
      <c r="L172" s="10" t="n">
        <f aca="false">L171+1/8</f>
        <v>2459874.75</v>
      </c>
      <c r="M172" s="49" t="n">
        <f aca="false">(L172-2451545)/36525</f>
        <v>0.228056125941136</v>
      </c>
      <c r="N172" s="15" t="n">
        <f aca="false">MOD(280.46061837+360.98564736629*(L172-2451545)+0.000387933*M172^2-M172^3/38710000+$G$4,360)</f>
        <v>120.656787899788</v>
      </c>
      <c r="O172" s="18" t="n">
        <f aca="false">0.60643382+1336.85522467*M172 - 0.00000313*M172^2 - INT(0.60643382+1336.85522467*M172 - 0.00000313*M172^2)</f>
        <v>0.484457139617405</v>
      </c>
      <c r="P172" s="15" t="n">
        <f aca="false">22640*SIN(Q172)-4586*SIN(Q172-2*S172)+2370*SIN(2*S172)+769*SIN(2*Q172)-668*SIN(R172)-412*SIN(2*T172)-212*SIN(2*Q172-2*S172)-206*SIN(Q172+R172-2*S172)+192*SIN(Q172+2*S172)-165*SIN(R172-2*S172)-125*SIN(S172)-110*SIN(Q172+R172)+148*SIN(Q172-R172)-55*SIN(2*T172-2*S172)</f>
        <v>-17314.6998208217</v>
      </c>
      <c r="Q172" s="18" t="n">
        <f aca="false">2*PI()*(0.374897+1325.55241*M172 - INT(0.374897+1325.55241*M172))</f>
        <v>4.2426854197464</v>
      </c>
      <c r="R172" s="26" t="n">
        <f aca="false">2*PI()*(0.99312619+99.99735956*M172 - 0.00000044*M172^2 - INT(0.99312619+99.99735956*M172- 0.00000044*M172^2))</f>
        <v>5.01484011245181</v>
      </c>
      <c r="S172" s="26" t="n">
        <f aca="false">2*PI()*(0.827361+1236.853086*M172 - INT(0.827361+1236.853086*M172))</f>
        <v>5.65036896767791</v>
      </c>
      <c r="T172" s="26" t="n">
        <f aca="false">2*PI()*(0.259086+1342.227825*M172 - INT(0.259086+1342.227825*M172))</f>
        <v>2.27679953168721</v>
      </c>
      <c r="U172" s="26" t="n">
        <f aca="false">T172+(P172+412*SIN(2*T172)+541*SIN(R172))/206264.8062</f>
        <v>2.18837940544907</v>
      </c>
      <c r="V172" s="26" t="n">
        <f aca="false">T172-2*S172</f>
        <v>-9.02393840366861</v>
      </c>
      <c r="W172" s="25" t="n">
        <f aca="false">-526*SIN(V172)+44*SIN(Q172+V172)-31*SIN(-Q172+V172)-23*SIN(R172+V172)+11*SIN(-R172+V172)-25*SIN(-2*Q172+T172)+21*SIN(-Q172+T172)</f>
        <v>219.378043754838</v>
      </c>
      <c r="X172" s="26" t="n">
        <f aca="false">2*PI()*(O172+P172/1296000-INT(O172+P172/1296000))</f>
        <v>2.95998994802793</v>
      </c>
      <c r="Y172" s="26" t="n">
        <f aca="false">(18520*SIN(U172)+W172)/206264.8062</f>
        <v>0.0742655580997301</v>
      </c>
      <c r="Z172" s="26" t="n">
        <f aca="false">Y172*180/PI()</f>
        <v>4.25510304229814</v>
      </c>
      <c r="AA172" s="26" t="n">
        <f aca="false">COS(Y172)*COS(X172)</f>
        <v>-0.980844406259306</v>
      </c>
      <c r="AB172" s="26" t="n">
        <f aca="false">COS(Y172)*SIN(X172)</f>
        <v>0.180108328281888</v>
      </c>
      <c r="AC172" s="26" t="n">
        <f aca="false">SIN(Y172)</f>
        <v>0.0741973098793566</v>
      </c>
      <c r="AD172" s="26" t="n">
        <f aca="false">COS($A$4*(23.4393-46.815*M172/3600))*AB172-SIN($A$4*(23.4393-46.815*M172/3600))*AC172</f>
        <v>0.1357393755795</v>
      </c>
      <c r="AE172" s="26" t="n">
        <f aca="false">SIN($A$4*(23.4393-46.815*M172/3600))*AB172+COS($A$4*(23.4393-46.815*M172/3600))*AC172</f>
        <v>0.139710674707114</v>
      </c>
      <c r="AF172" s="26" t="n">
        <f aca="false">SQRT(1-AE172*AE172)</f>
        <v>0.990192368872273</v>
      </c>
      <c r="AG172" s="10" t="n">
        <f aca="false">ATAN(AE172/AF172)/$A$4</f>
        <v>8.03110459117637</v>
      </c>
      <c r="AH172" s="26" t="n">
        <f aca="false">IF(24*ATAN(AD172/(AA172+AF172))/PI()&gt;0,24*ATAN(AD172/(AA172+AF172))/PI(),24*ATAN(AD172/(AA172+AF172))/PI()+24)</f>
        <v>11.474724282187</v>
      </c>
      <c r="AI172" s="10" t="n">
        <f aca="false">IF(N172-15*AH172&gt;0,N172-15*AH172,360+N172-15*AH172)</f>
        <v>308.535923666984</v>
      </c>
      <c r="AJ172" s="18" t="n">
        <f aca="false">0.950724+0.051818*COS(Q172)+0.009531*COS(2*S172-Q172)+0.007843*COS(2*S172)+0.002824*COS(2*Q172)+0.000857*COS(2*S172+Q172)+0.000533*COS(2*S172-R172)+0.000401*COS(2*S172-R172-Q172)+0.00032*COS(Q172-R172)-0.000271*COS(S172)</f>
        <v>0.93428540573359</v>
      </c>
      <c r="AK172" s="50" t="n">
        <f aca="false">ASIN(COS($A$4*$G$2)*COS($A$4*AG172)*COS($A$4*AI172)+SIN($A$4*$G$2)*SIN($A$4*AG172))/$A$4</f>
        <v>30.8815906536576</v>
      </c>
      <c r="AL172" s="18" t="n">
        <f aca="false">ASIN((0.9983271+0.0016764*COS($A$4*2*$G$2))*COS($A$4*AK172)*SIN($A$4*AJ172))/$A$4</f>
        <v>0.801414622203447</v>
      </c>
      <c r="AM172" s="18" t="n">
        <f aca="false">AK172-AL172</f>
        <v>30.0801760314541</v>
      </c>
      <c r="AN172" s="10" t="n">
        <f aca="false"> IF(280.4664567 + 360007.6982779*M172/10 + 0.03032028*M172^2/100 + M172^3/49931000&lt;0,MOD(280.4664567 + 360007.6982779*M172/10 + 0.03032028*M172^2/100 + M172^3/49931000+360,360),MOD(280.4664567 + 360007.6982779*M172/10 + 0.03032028*M172^2/100 + M172^3/49931000,360))</f>
        <v>210.662570294027</v>
      </c>
      <c r="AO172" s="27" t="n">
        <f aca="false"> AN172 + (1.9146 - 0.004817*M172 - 0.000014*M172^2)*SIN(R172)+ (0.019993 - 0.000101*M172)*SIN(2*R172)+ 0.00029*SIN(3*R172)</f>
        <v>208.824746818121</v>
      </c>
      <c r="AP172" s="18" t="n">
        <f aca="false">ACOS(COS(X172-$A$4*AO172)*COS(Y172))/$A$4</f>
        <v>39.4228546300297</v>
      </c>
      <c r="AQ172" s="25" t="n">
        <f aca="false">180 - AP172 -0.1468*(1-0.0549*SIN(R172))*SIN($A$4*AP172)/(1-0.0167*SIN($A$4*AO172))</f>
        <v>140.479819646451</v>
      </c>
      <c r="AR172" s="25" t="n">
        <f aca="false">SIN($A$4*AI172)</f>
        <v>-0.782217694922787</v>
      </c>
      <c r="AS172" s="25" t="n">
        <f aca="false">COS($A$4*AI172)*SIN($A$4*$G$2) - TAN($A$4*AG172)*COS($A$4*$G$2)</f>
        <v>-0.373305675532402</v>
      </c>
      <c r="AT172" s="25" t="n">
        <f aca="false">IF(OR(AND(AR172*AS172&gt;0), AND(AR172&lt;0,AS172&gt;0)), MOD(ATAN2(AS172,AR172)/$A$4+360,360),  ATAN2(AS172,AR172)/$A$4)</f>
        <v>244.487650703091</v>
      </c>
      <c r="AU172" s="29" t="n">
        <f aca="false">(1+SIN($A$4*H172)*SIN($A$4*AJ172))*120*ASIN(0.272481*SIN($A$4*AJ172))/$A$4</f>
        <v>30.7974028932653</v>
      </c>
      <c r="AV172" s="10" t="n">
        <f aca="false">COS(X172)</f>
        <v>-0.983555497635676</v>
      </c>
      <c r="AW172" s="10" t="n">
        <f aca="false">SIN(X172)</f>
        <v>0.180606154575744</v>
      </c>
      <c r="AX172" s="30" t="n">
        <f aca="false"> 385000.56 + (-20905355*COS(Q172) - 3699111*COS(2*S172-Q172) - 2955968*COS(2*S172) - 569925*COS(2*Q172) + (1-0.002516*M172)*48888*COS(R172) - 3149*COS(2*T172)  +246158*COS(2*S172-2*Q172) -(1-0.002516*M172)*152138*COS(2*S172-R172-Q172) -170733*COS(2*S172+Q172) -(1-0.002516*M172)*204586*COS(2*S172-R172) -(1-0.002516*M172)*129620*COS(R172-Q172)  + 108743*COS(S172) +(1-0.002516*M172)*104755*COS(R172+Q172) +10321*COS(2*S172-2*T172) +79661*COS(Q172-2*T172) -34782*COS(4*S172-Q172) -23210*COS(3*Q172)  -21636*COS(4*S172-2*Q172) +(1-0.002516*M172)*24208*COS(2*S172+R172-Q172) +(1-0.002516*M172)*30824*COS(2*S172+R172) -8379*COS(S172-Q172) -(1-0.002516*M172)*16675*COS(S172+R172)  -(1-0.002516*M172)*12831*COS(2*S172-R172+Q172) -10445*COS(2*S172+2*Q172) -11650*COS(4*S172) +14403*COS(2*S172-3*Q172) -(1-0.002516*M172)*7003*COS(R172-2*Q172)  + (1-0.002516*M172)*10056*COS(2*S172-R172-2*Q172) +6322*COS(S172+Q172) -(1-0.002516*M172)*(1-0.002516*M172)*9884*COS(2*S172-2*R172) +(1-0.002516*M172)*5751*COS(R172+2*Q172) -(1-0.002516*M172)*(1-0.002516*M172)*4950*COS(2*S172-2*R172-Q172)  +4130*COS(2*S172+Q172-2*T172) -(1-0.002516*M172)*3958*COS(4*S172-R172-Q172) +3258*COS(3*S172-Q172) +(1-0.002516*M172)*2616*COS(2*S172+R172+Q172) -(1-0.002516*M172)*1897*COS(4*S172-R172-2*Q172)  -(1-0.002516*M172)*(1-0.002516*M172)*2117*COS(2*R172-Q172) +(1-0.002516*M172)*(1-0.002516*M172)*2354*COS(2*S172+2*R172-Q172) -1423*COS(4*S172+Q172) -1117*COS(4*Q172) -(1-0.002516*M172)*1571*COS(4*S172-R172)  -1739*COS(S172-2*Q172) -4421*COS(2*Q172-2*T172) +(1-0.002516*M172)*(1-0.002516*M172)*1165*COS(2*R172+Q172) +8752*COS(2*S172-Q172-2*T172))/1000</f>
        <v>391014.560322298</v>
      </c>
      <c r="AY172" s="10" t="n">
        <f aca="false">AY171+1/8</f>
        <v>22.25</v>
      </c>
      <c r="AZ172" s="17" t="n">
        <f aca="false">AZ171+1</f>
        <v>171</v>
      </c>
      <c r="BA172" s="32" t="n">
        <f aca="false">ATAN(0.99664719*TAN($A$4*input!$E$2))</f>
        <v>-0.400219206115995</v>
      </c>
      <c r="BB172" s="32" t="n">
        <f aca="false">COS(BA172)</f>
        <v>0.920975608992155</v>
      </c>
      <c r="BC172" s="32" t="n">
        <f aca="false">0.99664719*SIN(BA172)</f>
        <v>-0.388313912533463</v>
      </c>
      <c r="BD172" s="32" t="n">
        <f aca="false">6378.14/AX172</f>
        <v>0.0163117710878663</v>
      </c>
      <c r="BE172" s="33" t="n">
        <f aca="false">MOD(N172-15*AH172,360)</f>
        <v>308.535923666984</v>
      </c>
      <c r="BF172" s="27" t="n">
        <f aca="false">COS($A$4*AG172)*SIN($A$4*BE172)</f>
        <v>-0.774545992309403</v>
      </c>
      <c r="BG172" s="27" t="n">
        <f aca="false">COS($A$4*AG172)*COS($A$4*BE172)-BB172*BD172</f>
        <v>0.601872250322314</v>
      </c>
      <c r="BH172" s="27" t="n">
        <f aca="false">SIN($A$4*AG172)-BC172*BD172</f>
        <v>0.146044762358594</v>
      </c>
      <c r="BI172" s="46" t="n">
        <f aca="false">SQRT(BF172^2+BG172^2+BH172^2)</f>
        <v>0.991716074551069</v>
      </c>
      <c r="BJ172" s="35" t="n">
        <f aca="false">AX172*BI172</f>
        <v>387775.424855142</v>
      </c>
    </row>
    <row r="173" customFormat="false" ht="15" hidden="false" customHeight="false" outlineLevel="0" collapsed="false">
      <c r="A173" s="20"/>
      <c r="B173" s="20"/>
      <c r="C173" s="15" t="n">
        <f aca="false">MOD(C172+3,24)</f>
        <v>9</v>
      </c>
      <c r="D173" s="17" t="n">
        <v>22</v>
      </c>
      <c r="E173" s="102" t="n">
        <f aca="false">input!$C$2</f>
        <v>10</v>
      </c>
      <c r="F173" s="102" t="n">
        <f aca="false">input!$D$2</f>
        <v>2022</v>
      </c>
      <c r="H173" s="39" t="n">
        <f aca="false">AM173</f>
        <v>58.2526269015271</v>
      </c>
      <c r="I173" s="48" t="n">
        <f aca="false">H173+1.02/(TAN($A$4*(H173+10.3/(H173+5.11)))*60)</f>
        <v>58.2630791623205</v>
      </c>
      <c r="J173" s="39" t="n">
        <f aca="false">100*(1+COS($A$4*AQ173))/2</f>
        <v>10.6263334219408</v>
      </c>
      <c r="K173" s="48" t="n">
        <f aca="false">IF(AI173&gt;180,AT173-180,AT173+180)</f>
        <v>14.9918169335806</v>
      </c>
      <c r="L173" s="10" t="n">
        <f aca="false">L172+1/8</f>
        <v>2459874.875</v>
      </c>
      <c r="M173" s="49" t="n">
        <f aca="false">(L173-2451545)/36525</f>
        <v>0.22805954825462</v>
      </c>
      <c r="N173" s="15" t="n">
        <f aca="false">MOD(280.46061837+360.98564736629*(L173-2451545)+0.000387933*M173^2-M173^3/38710000+$G$4,360)</f>
        <v>165.779993820936</v>
      </c>
      <c r="O173" s="18" t="n">
        <f aca="false">0.60643382+1336.85522467*M173 - 0.00000313*M173^2 - INT(0.60643382+1336.85522467*M173 - 0.00000313*M173^2)</f>
        <v>0.489032277273964</v>
      </c>
      <c r="P173" s="15" t="n">
        <f aca="false">22640*SIN(Q173)-4586*SIN(Q173-2*S173)+2370*SIN(2*S173)+769*SIN(2*Q173)-668*SIN(R173)-412*SIN(2*T173)-212*SIN(2*Q173-2*S173)-206*SIN(Q173+R173-2*S173)+192*SIN(Q173+2*S173)-165*SIN(R173-2*S173)-125*SIN(S173)-110*SIN(Q173+R173)+148*SIN(Q173-R173)-55*SIN(2*T173-2*S173)</f>
        <v>-17507.0991454505</v>
      </c>
      <c r="Q173" s="18" t="n">
        <f aca="false">2*PI()*(0.374897+1325.55241*M173 - INT(0.374897+1325.55241*M173))</f>
        <v>4.27118881271856</v>
      </c>
      <c r="R173" s="26" t="n">
        <f aca="false">2*PI()*(0.99312619+99.99735956*M173 - 0.00000044*M173^2 - INT(0.99312619+99.99735956*M173- 0.00000044*M173^2))</f>
        <v>5.01699035864991</v>
      </c>
      <c r="S173" s="26" t="n">
        <f aca="false">2*PI()*(0.827361+1236.853086*M173 - INT(0.827361+1236.853086*M173))</f>
        <v>5.67696505644283</v>
      </c>
      <c r="T173" s="26" t="n">
        <f aca="false">2*PI()*(0.259086+1342.227825*M173 - INT(0.259086+1342.227825*M173))</f>
        <v>2.30566149660497</v>
      </c>
      <c r="U173" s="26" t="n">
        <f aca="false">T173+(P173+412*SIN(2*T173)+541*SIN(R173))/206264.8062</f>
        <v>2.21629534130882</v>
      </c>
      <c r="V173" s="26" t="n">
        <f aca="false">T173-2*S173</f>
        <v>-9.04826861628069</v>
      </c>
      <c r="W173" s="25" t="n">
        <f aca="false">-526*SIN(V173)+44*SIN(Q173+V173)-31*SIN(-Q173+V173)-23*SIN(R173+V173)+11*SIN(-R173+V173)-25*SIN(-2*Q173+T173)+21*SIN(-Q173+T173)</f>
        <v>209.120472484405</v>
      </c>
      <c r="X173" s="26" t="n">
        <f aca="false">2*PI()*(O173+P173/1296000-INT(O173+P173/1296000))</f>
        <v>2.98780360748179</v>
      </c>
      <c r="Y173" s="26" t="n">
        <f aca="false">(18520*SIN(U173)+W173)/206264.8062</f>
        <v>0.0727360642143381</v>
      </c>
      <c r="Z173" s="26" t="n">
        <f aca="false">Y173*180/PI()</f>
        <v>4.16746949787412</v>
      </c>
      <c r="AA173" s="26" t="n">
        <f aca="false">COS(Y173)*COS(X173)</f>
        <v>-0.985584858349254</v>
      </c>
      <c r="AB173" s="26" t="n">
        <f aca="false">COS(Y173)*SIN(X173)</f>
        <v>0.152778517130952</v>
      </c>
      <c r="AC173" s="26" t="n">
        <f aca="false">SIN(Y173)</f>
        <v>0.0726719457283753</v>
      </c>
      <c r="AD173" s="26" t="n">
        <f aca="false">COS($A$4*(23.4393-46.815*M173/3600))*AB173-SIN($A$4*(23.4393-46.815*M173/3600))*AC173</f>
        <v>0.111270885997168</v>
      </c>
      <c r="AE173" s="26" t="n">
        <f aca="false">SIN($A$4*(23.4393-46.815*M173/3600))*AB173+COS($A$4*(23.4393-46.815*M173/3600))*AC173</f>
        <v>0.127441268520389</v>
      </c>
      <c r="AF173" s="26" t="n">
        <f aca="false">SQRT(1-AE173*AE173)</f>
        <v>0.991846118648409</v>
      </c>
      <c r="AG173" s="10" t="n">
        <f aca="false">ATAN(AE173/AF173)/$A$4</f>
        <v>7.32175790910864</v>
      </c>
      <c r="AH173" s="26" t="n">
        <f aca="false">IF(24*ATAN(AD173/(AA173+AF173))/PI()&gt;0,24*ATAN(AD173/(AA173+AF173))/PI(),24*ATAN(AD173/(AA173+AF173))/PI()+24)</f>
        <v>11.5705784531924</v>
      </c>
      <c r="AI173" s="10" t="n">
        <f aca="false">IF(N173-15*AH173&gt;0,N173-15*AH173,360+N173-15*AH173)</f>
        <v>352.22131702305</v>
      </c>
      <c r="AJ173" s="18" t="n">
        <f aca="false">0.950724+0.051818*COS(Q173)+0.009531*COS(2*S173-Q173)+0.007843*COS(2*S173)+0.002824*COS(2*Q173)+0.000857*COS(2*S173+Q173)+0.000533*COS(2*S173-R173)+0.000401*COS(2*S173-R173-Q173)+0.00032*COS(Q173-R173)-0.000271*COS(S173)</f>
        <v>0.935696535924723</v>
      </c>
      <c r="AK173" s="50" t="n">
        <f aca="false">ASIN(COS($A$4*$G$2)*COS($A$4*AG173)*COS($A$4*AI173)+SIN($A$4*$G$2)*SIN($A$4*AG173))/$A$4</f>
        <v>58.7379468841559</v>
      </c>
      <c r="AL173" s="18" t="n">
        <f aca="false">ASIN((0.9983271+0.0016764*COS($A$4*2*$G$2))*COS($A$4*AK173)*SIN($A$4*AJ173))/$A$4</f>
        <v>0.485319982628793</v>
      </c>
      <c r="AM173" s="18" t="n">
        <f aca="false">AK173-AL173</f>
        <v>58.2526269015271</v>
      </c>
      <c r="AN173" s="10" t="n">
        <f aca="false"> IF(280.4664567 + 360007.6982779*M173/10 + 0.03032028*M173^2/100 + M173^3/49931000&lt;0,MOD(280.4664567 + 360007.6982779*M173/10 + 0.03032028*M173^2/100 + M173^3/49931000+360,360),MOD(280.4664567 + 360007.6982779*M173/10 + 0.03032028*M173^2/100 + M173^3/49931000,360))</f>
        <v>210.785776214512</v>
      </c>
      <c r="AO173" s="27" t="n">
        <f aca="false"> AN173 + (1.9146 - 0.004817*M173 - 0.000014*M173^2)*SIN(R173)+ (0.019993 - 0.000101*M173)*SIN(2*R173)+ 0.00029*SIN(3*R173)</f>
        <v>208.949110510496</v>
      </c>
      <c r="AP173" s="18" t="n">
        <f aca="false">ACOS(COS(X173-$A$4*AO173)*COS(Y173))/$A$4</f>
        <v>37.9557301101884</v>
      </c>
      <c r="AQ173" s="25" t="n">
        <f aca="false">180 - AP173 -0.1468*(1-0.0549*SIN(R173))*SIN($A$4*AP173)/(1-0.0167*SIN($A$4*AO173))</f>
        <v>141.950013379695</v>
      </c>
      <c r="AR173" s="25" t="n">
        <f aca="false">SIN($A$4*AI173)</f>
        <v>-0.135346953097463</v>
      </c>
      <c r="AS173" s="25" t="n">
        <f aca="false">COS($A$4*AI173)*SIN($A$4*$G$2) - TAN($A$4*AG173)*COS($A$4*$G$2)</f>
        <v>-0.505410428367032</v>
      </c>
      <c r="AT173" s="25" t="n">
        <f aca="false">IF(OR(AND(AR173*AS173&gt;0), AND(AR173&lt;0,AS173&gt;0)), MOD(ATAN2(AS173,AR173)/$A$4+360,360),  ATAN2(AS173,AR173)/$A$4)</f>
        <v>194.991816933581</v>
      </c>
      <c r="AU173" s="29" t="n">
        <f aca="false">(1+SIN($A$4*H173)*SIN($A$4*AJ173))*120*ASIN(0.272481*SIN($A$4*AJ173))/$A$4</f>
        <v>31.0187375393441</v>
      </c>
      <c r="AV173" s="10" t="n">
        <f aca="false">COS(X173)</f>
        <v>-0.988197753496059</v>
      </c>
      <c r="AW173" s="10" t="n">
        <f aca="false">SIN(X173)</f>
        <v>0.153183549982833</v>
      </c>
      <c r="AX173" s="30" t="n">
        <f aca="false"> 385000.56 + (-20905355*COS(Q173) - 3699111*COS(2*S173-Q173) - 2955968*COS(2*S173) - 569925*COS(2*Q173) + (1-0.002516*M173)*48888*COS(R173) - 3149*COS(2*T173)  +246158*COS(2*S173-2*Q173) -(1-0.002516*M173)*152138*COS(2*S173-R173-Q173) -170733*COS(2*S173+Q173) -(1-0.002516*M173)*204586*COS(2*S173-R173) -(1-0.002516*M173)*129620*COS(R173-Q173)  + 108743*COS(S173) +(1-0.002516*M173)*104755*COS(R173+Q173) +10321*COS(2*S173-2*T173) +79661*COS(Q173-2*T173) -34782*COS(4*S173-Q173) -23210*COS(3*Q173)  -21636*COS(4*S173-2*Q173) +(1-0.002516*M173)*24208*COS(2*S173+R173-Q173) +(1-0.002516*M173)*30824*COS(2*S173+R173) -8379*COS(S173-Q173) -(1-0.002516*M173)*16675*COS(S173+R173)  -(1-0.002516*M173)*12831*COS(2*S173-R173+Q173) -10445*COS(2*S173+2*Q173) -11650*COS(4*S173) +14403*COS(2*S173-3*Q173) -(1-0.002516*M173)*7003*COS(R173-2*Q173)  + (1-0.002516*M173)*10056*COS(2*S173-R173-2*Q173) +6322*COS(S173+Q173) -(1-0.002516*M173)*(1-0.002516*M173)*9884*COS(2*S173-2*R173) +(1-0.002516*M173)*5751*COS(R173+2*Q173) -(1-0.002516*M173)*(1-0.002516*M173)*4950*COS(2*S173-2*R173-Q173)  +4130*COS(2*S173+Q173-2*T173) -(1-0.002516*M173)*3958*COS(4*S173-R173-Q173) +3258*COS(3*S173-Q173) +(1-0.002516*M173)*2616*COS(2*S173+R173+Q173) -(1-0.002516*M173)*1897*COS(4*S173-R173-2*Q173)  -(1-0.002516*M173)*(1-0.002516*M173)*2117*COS(2*R173-Q173) +(1-0.002516*M173)*(1-0.002516*M173)*2354*COS(2*S173+2*R173-Q173) -1423*COS(4*S173+Q173) -1117*COS(4*Q173) -(1-0.002516*M173)*1571*COS(4*S173-R173)  -1739*COS(S173-2*Q173) -4421*COS(2*Q173-2*T173) +(1-0.002516*M173)*(1-0.002516*M173)*1165*COS(2*R173+Q173) +8752*COS(2*S173-Q173-2*T173))/1000</f>
        <v>390424.902626486</v>
      </c>
      <c r="AY173" s="10" t="n">
        <f aca="false">AY172+1/8</f>
        <v>22.375</v>
      </c>
      <c r="AZ173" s="17" t="n">
        <f aca="false">AZ172+1</f>
        <v>172</v>
      </c>
      <c r="BA173" s="32" t="n">
        <f aca="false">ATAN(0.99664719*TAN($A$4*input!$E$2))</f>
        <v>-0.400219206115995</v>
      </c>
      <c r="BB173" s="32" t="n">
        <f aca="false">COS(BA173)</f>
        <v>0.920975608992155</v>
      </c>
      <c r="BC173" s="32" t="n">
        <f aca="false">0.99664719*SIN(BA173)</f>
        <v>-0.388313912533463</v>
      </c>
      <c r="BD173" s="32" t="n">
        <f aca="false">6378.14/AX173</f>
        <v>0.0163364067125141</v>
      </c>
      <c r="BE173" s="33" t="n">
        <f aca="false">MOD(N173-15*AH173,360)</f>
        <v>352.22131702305</v>
      </c>
      <c r="BF173" s="27" t="n">
        <f aca="false">COS($A$4*AG173)*SIN($A$4*BE173)</f>
        <v>-0.134243350100607</v>
      </c>
      <c r="BG173" s="27" t="n">
        <f aca="false">COS($A$4*AG173)*COS($A$4*BE173)-BB173*BD173</f>
        <v>0.967673981563329</v>
      </c>
      <c r="BH173" s="27" t="n">
        <f aca="false">SIN($A$4*AG173)-BC173*BD173</f>
        <v>0.133784922527663</v>
      </c>
      <c r="BI173" s="46" t="n">
        <f aca="false">SQRT(BF173^2+BG173^2+BH173^2)</f>
        <v>0.986059134705719</v>
      </c>
      <c r="BJ173" s="35" t="n">
        <f aca="false">AX173*BI173</f>
        <v>384982.041651438</v>
      </c>
    </row>
    <row r="174" customFormat="false" ht="15" hidden="false" customHeight="false" outlineLevel="0" collapsed="false">
      <c r="A174" s="20"/>
      <c r="B174" s="20"/>
      <c r="C174" s="15" t="n">
        <f aca="false">MOD(C173+3,24)</f>
        <v>12</v>
      </c>
      <c r="D174" s="17" t="n">
        <v>22</v>
      </c>
      <c r="E174" s="102" t="n">
        <f aca="false">input!$C$2</f>
        <v>10</v>
      </c>
      <c r="F174" s="102" t="n">
        <f aca="false">input!$D$2</f>
        <v>2022</v>
      </c>
      <c r="H174" s="39" t="n">
        <f aca="false">AM174</f>
        <v>43.409292797475</v>
      </c>
      <c r="I174" s="48" t="n">
        <f aca="false">H174+1.02/(TAN($A$4*(H174+10.3/(H174+5.11)))*60)</f>
        <v>43.4271310982326</v>
      </c>
      <c r="J174" s="39" t="n">
        <f aca="false">100*(1+COS($A$4*AQ174))/2</f>
        <v>9.84589857963107</v>
      </c>
      <c r="K174" s="48" t="n">
        <f aca="false">IF(AI174&gt;180,AT174-180,AT174+180)</f>
        <v>305.806744934993</v>
      </c>
      <c r="L174" s="10" t="n">
        <f aca="false">L173+1/8</f>
        <v>2459875</v>
      </c>
      <c r="M174" s="49" t="n">
        <f aca="false">(L174-2451545)/36525</f>
        <v>0.228062970568104</v>
      </c>
      <c r="N174" s="15" t="n">
        <f aca="false">MOD(280.46061837+360.98564736629*(L174-2451545)+0.000387933*M174^2-M174^3/38710000+$G$4,360)</f>
        <v>210.903199743014</v>
      </c>
      <c r="O174" s="18" t="n">
        <f aca="false">0.60643382+1336.85522467*M174 - 0.00000313*M174^2 - INT(0.60643382+1336.85522467*M174 - 0.00000313*M174^2)</f>
        <v>0.493607414930523</v>
      </c>
      <c r="P174" s="15" t="n">
        <f aca="false">22640*SIN(Q174)-4586*SIN(Q174-2*S174)+2370*SIN(2*S174)+769*SIN(2*Q174)-668*SIN(R174)-412*SIN(2*T174)-212*SIN(2*Q174-2*S174)-206*SIN(Q174+R174-2*S174)+192*SIN(Q174+2*S174)-165*SIN(R174-2*S174)-125*SIN(S174)-110*SIN(Q174+R174)+148*SIN(Q174-R174)-55*SIN(2*T174-2*S174)</f>
        <v>-17682.0803208325</v>
      </c>
      <c r="Q174" s="18" t="n">
        <f aca="false">2*PI()*(0.374897+1325.55241*M174 - INT(0.374897+1325.55241*M174))</f>
        <v>4.29969220569071</v>
      </c>
      <c r="R174" s="26" t="n">
        <f aca="false">2*PI()*(0.99312619+99.99735956*M174 - 0.00000044*M174^2 - INT(0.99312619+99.99735956*M174- 0.00000044*M174^2))</f>
        <v>5.019140604848</v>
      </c>
      <c r="S174" s="26" t="n">
        <f aca="false">2*PI()*(0.827361+1236.853086*M174 - INT(0.827361+1236.853086*M174))</f>
        <v>5.70356114520776</v>
      </c>
      <c r="T174" s="26" t="n">
        <f aca="false">2*PI()*(0.259086+1342.227825*M174 - INT(0.259086+1342.227825*M174))</f>
        <v>2.33452346152237</v>
      </c>
      <c r="U174" s="26" t="n">
        <f aca="false">T174+(P174+412*SIN(2*T174)+541*SIN(R174))/206264.8062</f>
        <v>2.24430235405557</v>
      </c>
      <c r="V174" s="26" t="n">
        <f aca="false">T174-2*S174</f>
        <v>-9.07259882889314</v>
      </c>
      <c r="W174" s="25" t="n">
        <f aca="false">-526*SIN(V174)+44*SIN(Q174+V174)-31*SIN(-Q174+V174)-23*SIN(R174+V174)+11*SIN(-R174+V174)-25*SIN(-2*Q174+T174)+21*SIN(-Q174+T174)</f>
        <v>198.705898011763</v>
      </c>
      <c r="X174" s="26" t="n">
        <f aca="false">2*PI()*(O174+P174/1296000-INT(O174+P174/1296000))</f>
        <v>3.01570171250618</v>
      </c>
      <c r="Y174" s="26" t="n">
        <f aca="false">(18520*SIN(U174)+W174)/206264.8062</f>
        <v>0.0711448193936341</v>
      </c>
      <c r="Z174" s="26" t="n">
        <f aca="false">Y174*180/PI()</f>
        <v>4.07629788547572</v>
      </c>
      <c r="AA174" s="26" t="n">
        <f aca="false">COS(Y174)*COS(X174)</f>
        <v>-0.989576490004162</v>
      </c>
      <c r="AB174" s="26" t="n">
        <f aca="false">COS(Y174)*SIN(X174)</f>
        <v>0.125241044491011</v>
      </c>
      <c r="AC174" s="26" t="n">
        <f aca="false">SIN(Y174)</f>
        <v>0.0710848169853623</v>
      </c>
      <c r="AD174" s="26" t="n">
        <f aca="false">COS($A$4*(23.4393-46.815*M174/3600))*AB174-SIN($A$4*(23.4393-46.815*M174/3600))*AC174</f>
        <v>0.0866364320612135</v>
      </c>
      <c r="AE174" s="26" t="n">
        <f aca="false">SIN($A$4*(23.4393-46.815*M174/3600))*AB174+COS($A$4*(23.4393-46.815*M174/3600))*AC174</f>
        <v>0.115032600034705</v>
      </c>
      <c r="AF174" s="26" t="n">
        <f aca="false">SQRT(1-AE174*AE174)</f>
        <v>0.993361717064462</v>
      </c>
      <c r="AG174" s="10" t="n">
        <f aca="false">ATAN(AE174/AF174)/$A$4</f>
        <v>6.60550537170148</v>
      </c>
      <c r="AH174" s="26" t="n">
        <f aca="false">IF(24*ATAN(AD174/(AA174+AF174))/PI()&gt;0,24*ATAN(AD174/(AA174+AF174))/PI(),24*ATAN(AD174/(AA174+AF174))/PI()+24)</f>
        <v>11.6664379504149</v>
      </c>
      <c r="AI174" s="10" t="n">
        <f aca="false">IF(N174-15*AH174&gt;0,N174-15*AH174,360+N174-15*AH174)</f>
        <v>35.9066304867897</v>
      </c>
      <c r="AJ174" s="18" t="n">
        <f aca="false">0.950724+0.051818*COS(Q174)+0.009531*COS(2*S174-Q174)+0.007843*COS(2*S174)+0.002824*COS(2*Q174)+0.000857*COS(2*S174+Q174)+0.000533*COS(2*S174-R174)+0.000401*COS(2*S174-R174-Q174)+0.00032*COS(Q174-R174)-0.000271*COS(S174)</f>
        <v>0.937124042316486</v>
      </c>
      <c r="AK174" s="50" t="n">
        <f aca="false">ASIN(COS($A$4*$G$2)*COS($A$4*AG174)*COS($A$4*AI174)+SIN($A$4*$G$2)*SIN($A$4*AG174))/$A$4</f>
        <v>44.0821130168209</v>
      </c>
      <c r="AL174" s="18" t="n">
        <f aca="false">ASIN((0.9983271+0.0016764*COS($A$4*2*$G$2))*COS($A$4*AK174)*SIN($A$4*AJ174))/$A$4</f>
        <v>0.672820219345897</v>
      </c>
      <c r="AM174" s="18" t="n">
        <f aca="false">AK174-AL174</f>
        <v>43.409292797475</v>
      </c>
      <c r="AN174" s="10" t="n">
        <f aca="false"> IF(280.4664567 + 360007.6982779*M174/10 + 0.03032028*M174^2/100 + M174^3/49931000&lt;0,MOD(280.4664567 + 360007.6982779*M174/10 + 0.03032028*M174^2/100 + M174^3/49931000+360,360),MOD(280.4664567 + 360007.6982779*M174/10 + 0.03032028*M174^2/100 + M174^3/49931000,360))</f>
        <v>210.908982134997</v>
      </c>
      <c r="AO174" s="27" t="n">
        <f aca="false"> AN174 + (1.9146 - 0.004817*M174 - 0.000014*M174^2)*SIN(R174)+ (0.019993 - 0.000101*M174)*SIN(2*R174)+ 0.00029*SIN(3*R174)</f>
        <v>209.073482846731</v>
      </c>
      <c r="AP174" s="18" t="n">
        <f aca="false">ACOS(COS(X174-$A$4*AO174)*COS(Y174))/$A$4</f>
        <v>36.483454663709</v>
      </c>
      <c r="AQ174" s="25" t="n">
        <f aca="false">180 - AP174 -0.1468*(1-0.0549*SIN(R174))*SIN($A$4*AP174)/(1-0.0167*SIN($A$4*AO174))</f>
        <v>143.425430529124</v>
      </c>
      <c r="AR174" s="25" t="n">
        <f aca="false">SIN($A$4*AI174)</f>
        <v>0.586466093926668</v>
      </c>
      <c r="AS174" s="25" t="n">
        <f aca="false">COS($A$4*AI174)*SIN($A$4*$G$2) - TAN($A$4*AG174)*COS($A$4*$G$2)</f>
        <v>-0.423077647148179</v>
      </c>
      <c r="AT174" s="25" t="n">
        <f aca="false">IF(OR(AND(AR174*AS174&gt;0), AND(AR174&lt;0,AS174&gt;0)), MOD(ATAN2(AS174,AR174)/$A$4+360,360),  ATAN2(AS174,AR174)/$A$4)</f>
        <v>125.806744934993</v>
      </c>
      <c r="AU174" s="29" t="n">
        <f aca="false">(1+SIN($A$4*H174)*SIN($A$4*AJ174))*120*ASIN(0.272481*SIN($A$4*AJ174))/$A$4</f>
        <v>30.9849350375199</v>
      </c>
      <c r="AV174" s="10" t="n">
        <f aca="false">COS(X174)</f>
        <v>-0.992086195610635</v>
      </c>
      <c r="AW174" s="10" t="n">
        <f aca="false">SIN(X174)</f>
        <v>0.125558673451171</v>
      </c>
      <c r="AX174" s="30" t="n">
        <f aca="false"> 385000.56 + (-20905355*COS(Q174) - 3699111*COS(2*S174-Q174) - 2955968*COS(2*S174) - 569925*COS(2*Q174) + (1-0.002516*M174)*48888*COS(R174) - 3149*COS(2*T174)  +246158*COS(2*S174-2*Q174) -(1-0.002516*M174)*152138*COS(2*S174-R174-Q174) -170733*COS(2*S174+Q174) -(1-0.002516*M174)*204586*COS(2*S174-R174) -(1-0.002516*M174)*129620*COS(R174-Q174)  + 108743*COS(S174) +(1-0.002516*M174)*104755*COS(R174+Q174) +10321*COS(2*S174-2*T174) +79661*COS(Q174-2*T174) -34782*COS(4*S174-Q174) -23210*COS(3*Q174)  -21636*COS(4*S174-2*Q174) +(1-0.002516*M174)*24208*COS(2*S174+R174-Q174) +(1-0.002516*M174)*30824*COS(2*S174+R174) -8379*COS(S174-Q174) -(1-0.002516*M174)*16675*COS(S174+R174)  -(1-0.002516*M174)*12831*COS(2*S174-R174+Q174) -10445*COS(2*S174+2*Q174) -11650*COS(4*S174) +14403*COS(2*S174-3*Q174) -(1-0.002516*M174)*7003*COS(R174-2*Q174)  + (1-0.002516*M174)*10056*COS(2*S174-R174-2*Q174) +6322*COS(S174+Q174) -(1-0.002516*M174)*(1-0.002516*M174)*9884*COS(2*S174-2*R174) +(1-0.002516*M174)*5751*COS(R174+2*Q174) -(1-0.002516*M174)*(1-0.002516*M174)*4950*COS(2*S174-2*R174-Q174)  +4130*COS(2*S174+Q174-2*T174) -(1-0.002516*M174)*3958*COS(4*S174-R174-Q174) +3258*COS(3*S174-Q174) +(1-0.002516*M174)*2616*COS(2*S174+R174+Q174) -(1-0.002516*M174)*1897*COS(4*S174-R174-2*Q174)  -(1-0.002516*M174)*(1-0.002516*M174)*2117*COS(2*R174-Q174) +(1-0.002516*M174)*(1-0.002516*M174)*2354*COS(2*S174+2*R174-Q174) -1423*COS(4*S174+Q174) -1117*COS(4*Q174) -(1-0.002516*M174)*1571*COS(4*S174-R174)  -1739*COS(S174-2*Q174) -4421*COS(2*Q174-2*T174) +(1-0.002516*M174)*(1-0.002516*M174)*1165*COS(2*R174+Q174) +8752*COS(2*S174-Q174-2*T174))/1000</f>
        <v>389831.062729799</v>
      </c>
      <c r="AY174" s="10" t="n">
        <f aca="false">AY173+1/8</f>
        <v>22.5</v>
      </c>
      <c r="AZ174" s="17" t="n">
        <f aca="false">AZ173+1</f>
        <v>173</v>
      </c>
      <c r="BA174" s="32" t="n">
        <f aca="false">ATAN(0.99664719*TAN($A$4*input!$E$2))</f>
        <v>-0.400219206115995</v>
      </c>
      <c r="BB174" s="32" t="n">
        <f aca="false">COS(BA174)</f>
        <v>0.920975608992155</v>
      </c>
      <c r="BC174" s="32" t="n">
        <f aca="false">0.99664719*SIN(BA174)</f>
        <v>-0.388313912533463</v>
      </c>
      <c r="BD174" s="32" t="n">
        <f aca="false">6378.14/AX174</f>
        <v>0.0163612923899316</v>
      </c>
      <c r="BE174" s="33" t="n">
        <f aca="false">MOD(N174-15*AH174,360)</f>
        <v>35.9066304867897</v>
      </c>
      <c r="BF174" s="27" t="n">
        <f aca="false">COS($A$4*AG174)*SIN($A$4*BE174)</f>
        <v>0.582572966063083</v>
      </c>
      <c r="BG174" s="27" t="n">
        <f aca="false">COS($A$4*AG174)*COS($A$4*BE174)-BB174*BD174</f>
        <v>0.789528591439706</v>
      </c>
      <c r="BH174" s="27" t="n">
        <f aca="false">SIN($A$4*AG174)-BC174*BD174</f>
        <v>0.121385917496744</v>
      </c>
      <c r="BI174" s="46" t="n">
        <f aca="false">SQRT(BF174^2+BG174^2+BH174^2)</f>
        <v>0.988676488268448</v>
      </c>
      <c r="BJ174" s="35" t="n">
        <f aca="false">AX174*BI174</f>
        <v>385416.806117655</v>
      </c>
    </row>
    <row r="175" customFormat="false" ht="15" hidden="false" customHeight="false" outlineLevel="0" collapsed="false">
      <c r="A175" s="20"/>
      <c r="B175" s="20"/>
      <c r="C175" s="15" t="n">
        <f aca="false">MOD(C174+3,24)</f>
        <v>15</v>
      </c>
      <c r="D175" s="17" t="n">
        <v>22</v>
      </c>
      <c r="E175" s="102" t="n">
        <f aca="false">input!$C$2</f>
        <v>10</v>
      </c>
      <c r="F175" s="102" t="n">
        <f aca="false">input!$D$2</f>
        <v>2022</v>
      </c>
      <c r="H175" s="39" t="n">
        <f aca="false">AM175</f>
        <v>6.27210701272939</v>
      </c>
      <c r="I175" s="48" t="n">
        <f aca="false">H175+1.02/(TAN($A$4*(H175+10.3/(H175+5.11)))*60)</f>
        <v>6.40711099923479</v>
      </c>
      <c r="J175" s="39" t="n">
        <f aca="false">100*(1+COS($A$4*AQ175))/2</f>
        <v>9.08943899481568</v>
      </c>
      <c r="K175" s="48" t="n">
        <f aca="false">IF(AI175&gt;180,AT175-180,AT175+180)</f>
        <v>279.548039543503</v>
      </c>
      <c r="L175" s="10" t="n">
        <f aca="false">L174+1/8</f>
        <v>2459875.125</v>
      </c>
      <c r="M175" s="49" t="n">
        <f aca="false">(L175-2451545)/36525</f>
        <v>0.228066392881588</v>
      </c>
      <c r="N175" s="15" t="n">
        <f aca="false">MOD(280.46061837+360.98564736629*(L175-2451545)+0.000387933*M175^2-M175^3/38710000+$G$4,360)</f>
        <v>256.026405664161</v>
      </c>
      <c r="O175" s="18" t="n">
        <f aca="false">0.60643382+1336.85522467*M175 - 0.00000313*M175^2 - INT(0.60643382+1336.85522467*M175 - 0.00000313*M175^2)</f>
        <v>0.498182552587082</v>
      </c>
      <c r="P175" s="15" t="n">
        <f aca="false">22640*SIN(Q175)-4586*SIN(Q175-2*S175)+2370*SIN(2*S175)+769*SIN(2*Q175)-668*SIN(R175)-412*SIN(2*T175)-212*SIN(2*Q175-2*S175)-206*SIN(Q175+R175-2*S175)+192*SIN(Q175+2*S175)-165*SIN(R175-2*S175)-125*SIN(S175)-110*SIN(Q175+R175)+148*SIN(Q175-R175)-55*SIN(2*T175-2*S175)</f>
        <v>-17839.4392192505</v>
      </c>
      <c r="Q175" s="18" t="n">
        <f aca="false">2*PI()*(0.374897+1325.55241*M175 - INT(0.374897+1325.55241*M175))</f>
        <v>4.32819559866251</v>
      </c>
      <c r="R175" s="26" t="n">
        <f aca="false">2*PI()*(0.99312619+99.99735956*M175 - 0.00000044*M175^2 - INT(0.99312619+99.99735956*M175- 0.00000044*M175^2))</f>
        <v>5.02129085104608</v>
      </c>
      <c r="S175" s="26" t="n">
        <f aca="false">2*PI()*(0.827361+1236.853086*M175 - INT(0.827361+1236.853086*M175))</f>
        <v>5.73015723397232</v>
      </c>
      <c r="T175" s="26" t="n">
        <f aca="false">2*PI()*(0.259086+1342.227825*M175 - INT(0.259086+1342.227825*M175))</f>
        <v>2.36338542644013</v>
      </c>
      <c r="U175" s="26" t="n">
        <f aca="false">T175+(P175+412*SIN(2*T175)+541*SIN(R175))/206264.8062</f>
        <v>2.2724014610253</v>
      </c>
      <c r="V175" s="26" t="n">
        <f aca="false">T175-2*S175</f>
        <v>-9.09692904150451</v>
      </c>
      <c r="W175" s="25" t="n">
        <f aca="false">-526*SIN(V175)+44*SIN(Q175+V175)-31*SIN(-Q175+V175)-23*SIN(R175+V175)+11*SIN(-R175+V175)-25*SIN(-2*Q175+T175)+21*SIN(-Q175+T175)</f>
        <v>188.137758186196</v>
      </c>
      <c r="X175" s="26" t="n">
        <f aca="false">2*PI()*(O175+P175/1296000-INT(O175+P175/1296000))</f>
        <v>3.04368525274023</v>
      </c>
      <c r="Y175" s="26" t="n">
        <f aca="false">(18520*SIN(U175)+W175)/206264.8062</f>
        <v>0.0694924469997848</v>
      </c>
      <c r="Z175" s="26" t="n">
        <f aca="false">Y175*180/PI()</f>
        <v>3.98162392112423</v>
      </c>
      <c r="AA175" s="26" t="n">
        <f aca="false">COS(Y175)*COS(X175)</f>
        <v>-0.99280882847959</v>
      </c>
      <c r="AB175" s="26" t="n">
        <f aca="false">COS(Y175)*SIN(X175)</f>
        <v>0.0975151199766911</v>
      </c>
      <c r="AC175" s="26" t="n">
        <f aca="false">SIN(Y175)</f>
        <v>0.069436528347235</v>
      </c>
      <c r="AD175" s="26" t="n">
        <f aca="false">COS($A$4*(23.4393-46.815*M175/3600))*AB175-SIN($A$4*(23.4393-46.815*M175/3600))*AC175</f>
        <v>0.061853398136485</v>
      </c>
      <c r="AE175" s="26" t="n">
        <f aca="false">SIN($A$4*(23.4393-46.815*M175/3600))*AB175+COS($A$4*(23.4393-46.815*M175/3600))*AC175</f>
        <v>0.102492864297737</v>
      </c>
      <c r="AF175" s="26" t="n">
        <f aca="false">SQRT(1-AE175*AE175)</f>
        <v>0.994733739634906</v>
      </c>
      <c r="AG175" s="10" t="n">
        <f aca="false">ATAN(AE175/AF175)/$A$4</f>
        <v>5.88273886272275</v>
      </c>
      <c r="AH175" s="26" t="n">
        <f aca="false">IF(24*ATAN(AD175/(AA175+AF175))/PI()&gt;0,24*ATAN(AD175/(AA175+AF175))/PI(),24*ATAN(AD175/(AA175+AF175))/PI()+24)</f>
        <v>11.7623332923388</v>
      </c>
      <c r="AI175" s="10" t="n">
        <f aca="false">IF(N175-15*AH175&gt;0,N175-15*AH175,360+N175-15*AH175)</f>
        <v>79.5914062790785</v>
      </c>
      <c r="AJ175" s="18" t="n">
        <f aca="false">0.950724+0.051818*COS(Q175)+0.009531*COS(2*S175-Q175)+0.007843*COS(2*S175)+0.002824*COS(2*Q175)+0.000857*COS(2*S175+Q175)+0.000533*COS(2*S175-R175)+0.000401*COS(2*S175-R175-Q175)+0.00032*COS(Q175-R175)-0.000271*COS(S175)</f>
        <v>0.938566265603829</v>
      </c>
      <c r="AK175" s="50" t="n">
        <f aca="false">ASIN(COS($A$4*$G$2)*COS($A$4*AG175)*COS($A$4*AI175)+SIN($A$4*$G$2)*SIN($A$4*AG175))/$A$4</f>
        <v>7.20279259435487</v>
      </c>
      <c r="AL175" s="18" t="n">
        <f aca="false">ASIN((0.9983271+0.0016764*COS($A$4*2*$G$2))*COS($A$4*AK175)*SIN($A$4*AJ175))/$A$4</f>
        <v>0.930685581625485</v>
      </c>
      <c r="AM175" s="18" t="n">
        <f aca="false">AK175-AL175</f>
        <v>6.27210701272939</v>
      </c>
      <c r="AN175" s="10" t="n">
        <f aca="false"> IF(280.4664567 + 360007.6982779*M175/10 + 0.03032028*M175^2/100 + M175^3/49931000&lt;0,MOD(280.4664567 + 360007.6982779*M175/10 + 0.03032028*M175^2/100 + M175^3/49931000+360,360),MOD(280.4664567 + 360007.6982779*M175/10 + 0.03032028*M175^2/100 + M175^3/49931000,360))</f>
        <v>211.032188055484</v>
      </c>
      <c r="AO175" s="27" t="n">
        <f aca="false"> AN175 + (1.9146 - 0.004817*M175 - 0.000014*M175^2)*SIN(R175)+ (0.019993 - 0.000101*M175)*SIN(2*R175)+ 0.00029*SIN(3*R175)</f>
        <v>209.197863822464</v>
      </c>
      <c r="AP175" s="18" t="n">
        <f aca="false">ACOS(COS(X175-$A$4*AO175)*COS(Y175))/$A$4</f>
        <v>35.0059692359839</v>
      </c>
      <c r="AQ175" s="25" t="n">
        <f aca="false">180 - AP175 -0.1468*(1-0.0549*SIN(R175))*SIN($A$4*AP175)/(1-0.0167*SIN($A$4*AO175))</f>
        <v>144.906128834643</v>
      </c>
      <c r="AR175" s="25" t="n">
        <f aca="false">SIN($A$4*AI175)</f>
        <v>0.983544383913524</v>
      </c>
      <c r="AS175" s="25" t="n">
        <f aca="false">COS($A$4*AI175)*SIN($A$4*$G$2) - TAN($A$4*AG175)*COS($A$4*$G$2)</f>
        <v>-0.165436746690949</v>
      </c>
      <c r="AT175" s="25" t="n">
        <f aca="false">IF(OR(AND(AR175*AS175&gt;0), AND(AR175&lt;0,AS175&gt;0)), MOD(ATAN2(AS175,AR175)/$A$4+360,360),  ATAN2(AS175,AR175)/$A$4)</f>
        <v>99.5480395435029</v>
      </c>
      <c r="AU175" s="29" t="n">
        <f aca="false">(1+SIN($A$4*H175)*SIN($A$4*AJ175))*120*ASIN(0.272481*SIN($A$4*AJ175))/$A$4</f>
        <v>30.7426238074962</v>
      </c>
      <c r="AV175" s="10" t="n">
        <f aca="false">COS(X175)</f>
        <v>-0.995210897901917</v>
      </c>
      <c r="AW175" s="10" t="n">
        <f aca="false">SIN(X175)</f>
        <v>0.0977510547117492</v>
      </c>
      <c r="AX175" s="30" t="n">
        <f aca="false"> 385000.56 + (-20905355*COS(Q175) - 3699111*COS(2*S175-Q175) - 2955968*COS(2*S175) - 569925*COS(2*Q175) + (1-0.002516*M175)*48888*COS(R175) - 3149*COS(2*T175)  +246158*COS(2*S175-2*Q175) -(1-0.002516*M175)*152138*COS(2*S175-R175-Q175) -170733*COS(2*S175+Q175) -(1-0.002516*M175)*204586*COS(2*S175-R175) -(1-0.002516*M175)*129620*COS(R175-Q175)  + 108743*COS(S175) +(1-0.002516*M175)*104755*COS(R175+Q175) +10321*COS(2*S175-2*T175) +79661*COS(Q175-2*T175) -34782*COS(4*S175-Q175) -23210*COS(3*Q175)  -21636*COS(4*S175-2*Q175) +(1-0.002516*M175)*24208*COS(2*S175+R175-Q175) +(1-0.002516*M175)*30824*COS(2*S175+R175) -8379*COS(S175-Q175) -(1-0.002516*M175)*16675*COS(S175+R175)  -(1-0.002516*M175)*12831*COS(2*S175-R175+Q175) -10445*COS(2*S175+2*Q175) -11650*COS(4*S175) +14403*COS(2*S175-3*Q175) -(1-0.002516*M175)*7003*COS(R175-2*Q175)  + (1-0.002516*M175)*10056*COS(2*S175-R175-2*Q175) +6322*COS(S175+Q175) -(1-0.002516*M175)*(1-0.002516*M175)*9884*COS(2*S175-2*R175) +(1-0.002516*M175)*5751*COS(R175+2*Q175) -(1-0.002516*M175)*(1-0.002516*M175)*4950*COS(2*S175-2*R175-Q175)  +4130*COS(2*S175+Q175-2*T175) -(1-0.002516*M175)*3958*COS(4*S175-R175-Q175) +3258*COS(3*S175-Q175) +(1-0.002516*M175)*2616*COS(2*S175+R175+Q175) -(1-0.002516*M175)*1897*COS(4*S175-R175-2*Q175)  -(1-0.002516*M175)*(1-0.002516*M175)*2117*COS(2*R175-Q175) +(1-0.002516*M175)*(1-0.002516*M175)*2354*COS(2*S175+2*R175-Q175) -1423*COS(4*S175+Q175) -1117*COS(4*Q175) -(1-0.002516*M175)*1571*COS(4*S175-R175)  -1739*COS(S175-2*Q175) -4421*COS(2*Q175-2*T175) +(1-0.002516*M175)*(1-0.002516*M175)*1165*COS(2*R175+Q175) +8752*COS(2*S175-Q175-2*T175))/1000</f>
        <v>389233.7675834</v>
      </c>
      <c r="AY175" s="10" t="n">
        <f aca="false">AY174+1/8</f>
        <v>22.625</v>
      </c>
      <c r="AZ175" s="17" t="n">
        <f aca="false">AZ174+1</f>
        <v>174</v>
      </c>
      <c r="BA175" s="32" t="n">
        <f aca="false">ATAN(0.99664719*TAN($A$4*input!$E$2))</f>
        <v>-0.400219206115995</v>
      </c>
      <c r="BB175" s="32" t="n">
        <f aca="false">COS(BA175)</f>
        <v>0.920975608992155</v>
      </c>
      <c r="BC175" s="32" t="n">
        <f aca="false">0.99664719*SIN(BA175)</f>
        <v>-0.388313912533463</v>
      </c>
      <c r="BD175" s="32" t="n">
        <f aca="false">6378.14/AX175</f>
        <v>0.0163863994627172</v>
      </c>
      <c r="BE175" s="33" t="n">
        <f aca="false">MOD(N175-15*AH175,360)</f>
        <v>79.5914062790785</v>
      </c>
      <c r="BF175" s="27" t="n">
        <f aca="false">COS($A$4*AG175)*SIN($A$4*BE175)</f>
        <v>0.978364783107209</v>
      </c>
      <c r="BG175" s="27" t="n">
        <f aca="false">COS($A$4*AG175)*COS($A$4*BE175)-BB175*BD175</f>
        <v>0.164623755913843</v>
      </c>
      <c r="BH175" s="27" t="n">
        <f aca="false">SIN($A$4*AG175)-BC175*BD175</f>
        <v>0.108855931185441</v>
      </c>
      <c r="BI175" s="46" t="n">
        <f aca="false">SQRT(BF175^2+BG175^2+BH175^2)</f>
        <v>0.998072263711324</v>
      </c>
      <c r="BJ175" s="35" t="n">
        <f aca="false">AX175*BI175</f>
        <v>388483.427524851</v>
      </c>
    </row>
    <row r="176" customFormat="false" ht="15" hidden="false" customHeight="false" outlineLevel="0" collapsed="false">
      <c r="A176" s="20"/>
      <c r="B176" s="20"/>
      <c r="C176" s="15" t="n">
        <f aca="false">MOD(C175+3,24)</f>
        <v>18</v>
      </c>
      <c r="D176" s="17" t="n">
        <v>22</v>
      </c>
      <c r="E176" s="102" t="n">
        <f aca="false">input!$C$2</f>
        <v>10</v>
      </c>
      <c r="F176" s="102" t="n">
        <f aca="false">input!$D$2</f>
        <v>2022</v>
      </c>
      <c r="H176" s="39" t="n">
        <f aca="false">AM176</f>
        <v>-33.3464761108741</v>
      </c>
      <c r="I176" s="48" t="n">
        <f aca="false">H176+1.02/(TAN($A$4*(H176+10.3/(H176+5.11)))*60)</f>
        <v>-33.371955693638</v>
      </c>
      <c r="J176" s="39" t="n">
        <f aca="false">100*(1+COS($A$4*AQ176))/2</f>
        <v>8.35772519485338</v>
      </c>
      <c r="K176" s="48" t="n">
        <f aca="false">IF(AI176&gt;180,AT176-180,AT176+180)</f>
        <v>261.071070991157</v>
      </c>
      <c r="L176" s="10" t="n">
        <f aca="false">L175+1/8</f>
        <v>2459875.25</v>
      </c>
      <c r="M176" s="49" t="n">
        <f aca="false">(L176-2451545)/36525</f>
        <v>0.228069815195072</v>
      </c>
      <c r="N176" s="15" t="n">
        <f aca="false">MOD(280.46061837+360.98564736629*(L176-2451545)+0.000387933*M176^2-M176^3/38710000+$G$4,360)</f>
        <v>301.149611585308</v>
      </c>
      <c r="O176" s="18" t="n">
        <f aca="false">0.60643382+1336.85522467*M176 - 0.00000313*M176^2 - INT(0.60643382+1336.85522467*M176 - 0.00000313*M176^2)</f>
        <v>0.502757690243641</v>
      </c>
      <c r="P176" s="15" t="n">
        <f aca="false">22640*SIN(Q176)-4586*SIN(Q176-2*S176)+2370*SIN(2*S176)+769*SIN(2*Q176)-668*SIN(R176)-412*SIN(2*T176)-212*SIN(2*Q176-2*S176)-206*SIN(Q176+R176-2*S176)+192*SIN(Q176+2*S176)-165*SIN(R176-2*S176)-125*SIN(S176)-110*SIN(Q176+R176)+148*SIN(Q176-R176)-55*SIN(2*T176-2*S176)</f>
        <v>-17978.9908484855</v>
      </c>
      <c r="Q176" s="18" t="n">
        <f aca="false">2*PI()*(0.374897+1325.55241*M176 - INT(0.374897+1325.55241*M176))</f>
        <v>4.35669899163431</v>
      </c>
      <c r="R176" s="26" t="n">
        <f aca="false">2*PI()*(0.99312619+99.99735956*M176 - 0.00000044*M176^2 - INT(0.99312619+99.99735956*M176- 0.00000044*M176^2))</f>
        <v>5.02344109724418</v>
      </c>
      <c r="S176" s="26" t="n">
        <f aca="false">2*PI()*(0.827361+1236.853086*M176 - INT(0.827361+1236.853086*M176))</f>
        <v>5.75675332273724</v>
      </c>
      <c r="T176" s="26" t="n">
        <f aca="false">2*PI()*(0.259086+1342.227825*M176 - INT(0.259086+1342.227825*M176))</f>
        <v>2.39224739135753</v>
      </c>
      <c r="U176" s="26" t="n">
        <f aca="false">T176+(P176+412*SIN(2*T176)+541*SIN(R176))/206264.8062</f>
        <v>2.3005935646375</v>
      </c>
      <c r="V176" s="26" t="n">
        <f aca="false">T176-2*S176</f>
        <v>-9.12125925411695</v>
      </c>
      <c r="W176" s="25" t="n">
        <f aca="false">-526*SIN(V176)+44*SIN(Q176+V176)-31*SIN(-Q176+V176)-23*SIN(R176+V176)+11*SIN(-R176+V176)-25*SIN(-2*Q176+T176)+21*SIN(-Q176+T176)</f>
        <v>177.419718539296</v>
      </c>
      <c r="X176" s="26" t="n">
        <f aca="false">2*PI()*(O176+P176/1296000-INT(O176+P176/1296000))</f>
        <v>3.0717551250515</v>
      </c>
      <c r="Y176" s="26" t="n">
        <f aca="false">(18520*SIN(U176)+W176)/206264.8062</f>
        <v>0.0677796363944494</v>
      </c>
      <c r="Z176" s="26" t="n">
        <f aca="false">Y176*180/PI()</f>
        <v>3.88348710233326</v>
      </c>
      <c r="AA176" s="26" t="n">
        <f aca="false">COS(Y176)*COS(X176)</f>
        <v>-0.99527178774591</v>
      </c>
      <c r="AB176" s="26" t="n">
        <f aca="false">COS(Y176)*SIN(X176)</f>
        <v>0.0696205450062773</v>
      </c>
      <c r="AC176" s="26" t="n">
        <f aca="false">SIN(Y176)</f>
        <v>0.0677277508122691</v>
      </c>
      <c r="AD176" s="26" t="n">
        <f aca="false">COS($A$4*(23.4393-46.815*M176/3600))*AB176-SIN($A$4*(23.4393-46.815*M176/3600))*AC176</f>
        <v>0.0369396851992183</v>
      </c>
      <c r="AE176" s="26" t="n">
        <f aca="false">SIN($A$4*(23.4393-46.815*M176/3600))*AB176+COS($A$4*(23.4393-46.815*M176/3600))*AC176</f>
        <v>0.0898305525667218</v>
      </c>
      <c r="AF176" s="26" t="n">
        <f aca="false">SQRT(1-AE176*AE176)</f>
        <v>0.995957063243972</v>
      </c>
      <c r="AG176" s="10" t="n">
        <f aca="false">ATAN(AE176/AF176)/$A$4</f>
        <v>5.15385898254559</v>
      </c>
      <c r="AH176" s="26" t="n">
        <f aca="false">IF(24*ATAN(AD176/(AA176+AF176))/PI()&gt;0,24*ATAN(AD176/(AA176+AF176))/PI(),24*ATAN(AD176/(AA176+AF176))/PI()+24)</f>
        <v>11.8582955235128</v>
      </c>
      <c r="AI176" s="10" t="n">
        <f aca="false">IF(N176-15*AH176&gt;0,N176-15*AH176,360+N176-15*AH176)</f>
        <v>123.275178732616</v>
      </c>
      <c r="AJ176" s="18" t="n">
        <f aca="false">0.950724+0.051818*COS(Q176)+0.009531*COS(2*S176-Q176)+0.007843*COS(2*S176)+0.002824*COS(2*Q176)+0.000857*COS(2*S176+Q176)+0.000533*COS(2*S176-R176)+0.000401*COS(2*S176-R176-Q176)+0.00032*COS(Q176-R176)-0.000271*COS(S176)</f>
        <v>0.940021505472507</v>
      </c>
      <c r="AK176" s="50" t="n">
        <f aca="false">ASIN(COS($A$4*$G$2)*COS($A$4*AG176)*COS($A$4*AI176)+SIN($A$4*$G$2)*SIN($A$4*AG176))/$A$4</f>
        <v>-32.5545644813195</v>
      </c>
      <c r="AL176" s="18" t="n">
        <f aca="false">ASIN((0.9983271+0.0016764*COS($A$4*2*$G$2))*COS($A$4*AK176)*SIN($A$4*AJ176))/$A$4</f>
        <v>0.791911629554514</v>
      </c>
      <c r="AM176" s="18" t="n">
        <f aca="false">AK176-AL176</f>
        <v>-33.3464761108741</v>
      </c>
      <c r="AN176" s="10" t="n">
        <f aca="false"> IF(280.4664567 + 360007.6982779*M176/10 + 0.03032028*M176^2/100 + M176^3/49931000&lt;0,MOD(280.4664567 + 360007.6982779*M176/10 + 0.03032028*M176^2/100 + M176^3/49931000+360,360),MOD(280.4664567 + 360007.6982779*M176/10 + 0.03032028*M176^2/100 + M176^3/49931000,360))</f>
        <v>211.155393975972</v>
      </c>
      <c r="AO176" s="27" t="n">
        <f aca="false"> AN176 + (1.9146 - 0.004817*M176 - 0.000014*M176^2)*SIN(R176)+ (0.019993 - 0.000101*M176)*SIN(2*R176)+ 0.00029*SIN(3*R176)</f>
        <v>209.322253433291</v>
      </c>
      <c r="AP176" s="18" t="n">
        <f aca="false">ACOS(COS(X176-$A$4*AO176)*COS(Y176))/$A$4</f>
        <v>33.5232221827583</v>
      </c>
      <c r="AQ176" s="25" t="n">
        <f aca="false">180 - AP176 -0.1468*(1-0.0549*SIN(R176))*SIN($A$4*AP176)/(1-0.0167*SIN($A$4*AO176))</f>
        <v>146.392158536944</v>
      </c>
      <c r="AR176" s="25" t="n">
        <f aca="false">SIN($A$4*AI176)</f>
        <v>0.836045126665853</v>
      </c>
      <c r="AS176" s="25" t="n">
        <f aca="false">COS($A$4*AI176)*SIN($A$4*$G$2) - TAN($A$4*AG176)*COS($A$4*$G$2)</f>
        <v>0.131353683265571</v>
      </c>
      <c r="AT176" s="25" t="n">
        <f aca="false">IF(OR(AND(AR176*AS176&gt;0), AND(AR176&lt;0,AS176&gt;0)), MOD(ATAN2(AS176,AR176)/$A$4+360,360),  ATAN2(AS176,AR176)/$A$4)</f>
        <v>81.0710709911571</v>
      </c>
      <c r="AU176" s="29" t="n">
        <f aca="false">(1+SIN($A$4*H176)*SIN($A$4*AJ176))*120*ASIN(0.272481*SIN($A$4*AJ176))/$A$4</f>
        <v>30.4581052291171</v>
      </c>
      <c r="AV176" s="10" t="n">
        <f aca="false">COS(X176)</f>
        <v>-0.997562350803708</v>
      </c>
      <c r="AW176" s="10" t="n">
        <f aca="false">SIN(X176)</f>
        <v>0.0697807728459675</v>
      </c>
      <c r="AX176" s="30" t="n">
        <f aca="false"> 385000.56 + (-20905355*COS(Q176) - 3699111*COS(2*S176-Q176) - 2955968*COS(2*S176) - 569925*COS(2*Q176) + (1-0.002516*M176)*48888*COS(R176) - 3149*COS(2*T176)  +246158*COS(2*S176-2*Q176) -(1-0.002516*M176)*152138*COS(2*S176-R176-Q176) -170733*COS(2*S176+Q176) -(1-0.002516*M176)*204586*COS(2*S176-R176) -(1-0.002516*M176)*129620*COS(R176-Q176)  + 108743*COS(S176) +(1-0.002516*M176)*104755*COS(R176+Q176) +10321*COS(2*S176-2*T176) +79661*COS(Q176-2*T176) -34782*COS(4*S176-Q176) -23210*COS(3*Q176)  -21636*COS(4*S176-2*Q176) +(1-0.002516*M176)*24208*COS(2*S176+R176-Q176) +(1-0.002516*M176)*30824*COS(2*S176+R176) -8379*COS(S176-Q176) -(1-0.002516*M176)*16675*COS(S176+R176)  -(1-0.002516*M176)*12831*COS(2*S176-R176+Q176) -10445*COS(2*S176+2*Q176) -11650*COS(4*S176) +14403*COS(2*S176-3*Q176) -(1-0.002516*M176)*7003*COS(R176-2*Q176)  + (1-0.002516*M176)*10056*COS(2*S176-R176-2*Q176) +6322*COS(S176+Q176) -(1-0.002516*M176)*(1-0.002516*M176)*9884*COS(2*S176-2*R176) +(1-0.002516*M176)*5751*COS(R176+2*Q176) -(1-0.002516*M176)*(1-0.002516*M176)*4950*COS(2*S176-2*R176-Q176)  +4130*COS(2*S176+Q176-2*T176) -(1-0.002516*M176)*3958*COS(4*S176-R176-Q176) +3258*COS(3*S176-Q176) +(1-0.002516*M176)*2616*COS(2*S176+R176+Q176) -(1-0.002516*M176)*1897*COS(4*S176-R176-2*Q176)  -(1-0.002516*M176)*(1-0.002516*M176)*2117*COS(2*R176-Q176) +(1-0.002516*M176)*(1-0.002516*M176)*2354*COS(2*S176+2*R176-Q176) -1423*COS(4*S176+Q176) -1117*COS(4*Q176) -(1-0.002516*M176)*1571*COS(4*S176-R176)  -1739*COS(S176-2*Q176) -4421*COS(2*Q176-2*T176) +(1-0.002516*M176)*(1-0.002516*M176)*1165*COS(2*R176+Q176) +8752*COS(2*S176-Q176-2*T176))/1000</f>
        <v>388633.74758648</v>
      </c>
      <c r="AY176" s="10" t="n">
        <f aca="false">AY175+1/8</f>
        <v>22.75</v>
      </c>
      <c r="AZ176" s="17" t="n">
        <f aca="false">AZ175+1</f>
        <v>175</v>
      </c>
      <c r="BA176" s="32" t="n">
        <f aca="false">ATAN(0.99664719*TAN($A$4*input!$E$2))</f>
        <v>-0.400219206115995</v>
      </c>
      <c r="BB176" s="32" t="n">
        <f aca="false">COS(BA176)</f>
        <v>0.920975608992155</v>
      </c>
      <c r="BC176" s="32" t="n">
        <f aca="false">0.99664719*SIN(BA176)</f>
        <v>-0.388313912533463</v>
      </c>
      <c r="BD176" s="32" t="n">
        <f aca="false">6378.14/AX176</f>
        <v>0.0164116987770876</v>
      </c>
      <c r="BE176" s="33" t="n">
        <f aca="false">MOD(N176-15*AH176,360)</f>
        <v>123.275178732616</v>
      </c>
      <c r="BF176" s="27" t="n">
        <f aca="false">COS($A$4*AG176)*SIN($A$4*BE176)</f>
        <v>0.832665049093557</v>
      </c>
      <c r="BG176" s="27" t="n">
        <f aca="false">COS($A$4*AG176)*COS($A$4*BE176)-BB176*BD176</f>
        <v>-0.561557257839814</v>
      </c>
      <c r="BH176" s="27" t="n">
        <f aca="false">SIN($A$4*AG176)-BC176*BD176</f>
        <v>0.0962034435301733</v>
      </c>
      <c r="BI176" s="46" t="n">
        <f aca="false">SQRT(BF176^2+BG176^2+BH176^2)</f>
        <v>1.00892652872328</v>
      </c>
      <c r="BJ176" s="35" t="n">
        <f aca="false">AX176*BI176</f>
        <v>392102.897897147</v>
      </c>
    </row>
    <row r="177" customFormat="false" ht="15" hidden="false" customHeight="false" outlineLevel="0" collapsed="false">
      <c r="A177" s="20"/>
      <c r="B177" s="20"/>
      <c r="C177" s="15" t="n">
        <f aca="false">MOD(C176+3,24)</f>
        <v>21</v>
      </c>
      <c r="D177" s="17" t="n">
        <v>22</v>
      </c>
      <c r="E177" s="102" t="n">
        <f aca="false">input!$C$2</f>
        <v>10</v>
      </c>
      <c r="F177" s="102" t="n">
        <f aca="false">input!$D$2</f>
        <v>2022</v>
      </c>
      <c r="H177" s="39" t="n">
        <f aca="false">AM177</f>
        <v>-67.9073729195101</v>
      </c>
      <c r="I177" s="48" t="n">
        <f aca="false">H177+1.02/(TAN($A$4*(H177+10.3/(H177+5.11)))*60)</f>
        <v>-67.914216737362</v>
      </c>
      <c r="J177" s="39" t="n">
        <f aca="false">100*(1+COS($A$4*AQ177))/2</f>
        <v>7.65152857279644</v>
      </c>
      <c r="K177" s="48" t="n">
        <f aca="false">IF(AI177&gt;180,AT177-180,AT177+180)</f>
        <v>216.096975048003</v>
      </c>
      <c r="L177" s="10" t="n">
        <f aca="false">L176+1/8</f>
        <v>2459875.375</v>
      </c>
      <c r="M177" s="49" t="n">
        <f aca="false">(L177-2451545)/36525</f>
        <v>0.228073237508556</v>
      </c>
      <c r="N177" s="15" t="n">
        <f aca="false">MOD(280.46061837+360.98564736629*(L177-2451545)+0.000387933*M177^2-M177^3/38710000+$G$4,360)</f>
        <v>346.272817506921</v>
      </c>
      <c r="O177" s="18" t="n">
        <f aca="false">0.60643382+1336.85522467*M177 - 0.00000313*M177^2 - INT(0.60643382+1336.85522467*M177 - 0.00000313*M177^2)</f>
        <v>0.5073328279002</v>
      </c>
      <c r="P177" s="15" t="n">
        <f aca="false">22640*SIN(Q177)-4586*SIN(Q177-2*S177)+2370*SIN(2*S177)+769*SIN(2*Q177)-668*SIN(R177)-412*SIN(2*T177)-212*SIN(2*Q177-2*S177)-206*SIN(Q177+R177-2*S177)+192*SIN(Q177+2*S177)-165*SIN(R177-2*S177)-125*SIN(S177)-110*SIN(Q177+R177)+148*SIN(Q177-R177)-55*SIN(2*T177-2*S177)</f>
        <v>-18100.570018656</v>
      </c>
      <c r="Q177" s="18" t="n">
        <f aca="false">2*PI()*(0.374897+1325.55241*M177 - INT(0.374897+1325.55241*M177))</f>
        <v>4.38520238460647</v>
      </c>
      <c r="R177" s="26" t="n">
        <f aca="false">2*PI()*(0.99312619+99.99735956*M177 - 0.00000044*M177^2 - INT(0.99312619+99.99735956*M177- 0.00000044*M177^2))</f>
        <v>5.02559134344229</v>
      </c>
      <c r="S177" s="26" t="n">
        <f aca="false">2*PI()*(0.827361+1236.853086*M177 - INT(0.827361+1236.853086*M177))</f>
        <v>5.78334941150217</v>
      </c>
      <c r="T177" s="26" t="n">
        <f aca="false">2*PI()*(0.259086+1342.227825*M177 - INT(0.259086+1342.227825*M177))</f>
        <v>2.42110935627529</v>
      </c>
      <c r="U177" s="26" t="n">
        <f aca="false">T177+(P177+412*SIN(2*T177)+541*SIN(R177))/206264.8062</f>
        <v>2.32887944914657</v>
      </c>
      <c r="V177" s="26" t="n">
        <f aca="false">T177-2*S177</f>
        <v>-9.14558946672904</v>
      </c>
      <c r="W177" s="25" t="n">
        <f aca="false">-526*SIN(V177)+44*SIN(Q177+V177)-31*SIN(-Q177+V177)-23*SIN(R177+V177)+11*SIN(-R177+V177)-25*SIN(-2*Q177+T177)+21*SIN(-Q177+T177)</f>
        <v>166.555677009019</v>
      </c>
      <c r="X177" s="26" t="n">
        <f aca="false">2*PI()*(O177+P177/1296000-INT(O177+P177/1296000))</f>
        <v>3.09991213030315</v>
      </c>
      <c r="Y177" s="26" t="n">
        <f aca="false">(18520*SIN(U177)+W177)/206264.8062</f>
        <v>0.0660071452611042</v>
      </c>
      <c r="Z177" s="26" t="n">
        <f aca="false">Y177*180/PI()</f>
        <v>3.78193084116823</v>
      </c>
      <c r="AA177" s="26" t="n">
        <f aca="false">COS(Y177)*COS(X177)</f>
        <v>-0.996955703296252</v>
      </c>
      <c r="AB177" s="26" t="n">
        <f aca="false">COS(Y177)*SIN(X177)</f>
        <v>0.0415777153800771</v>
      </c>
      <c r="AC177" s="26" t="n">
        <f aca="false">SIN(Y177)</f>
        <v>0.0659592241377127</v>
      </c>
      <c r="AD177" s="26" t="n">
        <f aca="false">COS($A$4*(23.4393-46.815*M177/3600))*AB177-SIN($A$4*(23.4393-46.815*M177/3600))*AC177</f>
        <v>0.0119137122252291</v>
      </c>
      <c r="AE177" s="26" t="n">
        <f aca="false">SIN($A$4*(23.4393-46.815*M177/3600))*AB177+COS($A$4*(23.4393-46.815*M177/3600))*AC177</f>
        <v>0.0770544555888247</v>
      </c>
      <c r="AF177" s="26" t="n">
        <f aca="false">SQRT(1-AE177*AE177)</f>
        <v>0.997026885732732</v>
      </c>
      <c r="AG177" s="10" t="n">
        <f aca="false">ATAN(AE177/AF177)/$A$4</f>
        <v>4.41927563709956</v>
      </c>
      <c r="AH177" s="26" t="n">
        <f aca="false">IF(24*ATAN(AD177/(AA177+AF177))/PI()&gt;0,24*ATAN(AD177/(AA177+AF177))/PI(),24*ATAN(AD177/(AA177+AF177))/PI()+24)</f>
        <v>11.9543561841126</v>
      </c>
      <c r="AI177" s="10" t="n">
        <f aca="false">IF(N177-15*AH177&gt;0,N177-15*AH177,360+N177-15*AH177)</f>
        <v>166.957474745231</v>
      </c>
      <c r="AJ177" s="18" t="n">
        <f aca="false">0.950724+0.051818*COS(Q177)+0.009531*COS(2*S177-Q177)+0.007843*COS(2*S177)+0.002824*COS(2*Q177)+0.000857*COS(2*S177+Q177)+0.000533*COS(2*S177-R177)+0.000401*COS(2*S177-R177-Q177)+0.00032*COS(Q177-R177)-0.000271*COS(S177)</f>
        <v>0.941488023338277</v>
      </c>
      <c r="AK177" s="50" t="n">
        <f aca="false">ASIN(COS($A$4*$G$2)*COS($A$4*AG177)*COS($A$4*AI177)+SIN($A$4*$G$2)*SIN($A$4*AG177))/$A$4</f>
        <v>-67.5480065866994</v>
      </c>
      <c r="AL177" s="18" t="n">
        <f aca="false">ASIN((0.9983271+0.0016764*COS($A$4*2*$G$2))*COS($A$4*AK177)*SIN($A$4*AJ177))/$A$4</f>
        <v>0.359366332810743</v>
      </c>
      <c r="AM177" s="18" t="n">
        <f aca="false">AK177-AL177</f>
        <v>-67.9073729195101</v>
      </c>
      <c r="AN177" s="10" t="n">
        <f aca="false"> IF(280.4664567 + 360007.6982779*M177/10 + 0.03032028*M177^2/100 + M177^3/49931000&lt;0,MOD(280.4664567 + 360007.6982779*M177/10 + 0.03032028*M177^2/100 + M177^3/49931000+360,360),MOD(280.4664567 + 360007.6982779*M177/10 + 0.03032028*M177^2/100 + M177^3/49931000,360))</f>
        <v>211.278599896459</v>
      </c>
      <c r="AO177" s="27" t="n">
        <f aca="false"> AN177 + (1.9146 - 0.004817*M177 - 0.000014*M177^2)*SIN(R177)+ (0.019993 - 0.000101*M177)*SIN(2*R177)+ 0.00029*SIN(3*R177)</f>
        <v>209.446651674759</v>
      </c>
      <c r="AP177" s="18" t="n">
        <f aca="false">ACOS(COS(X177-$A$4*AO177)*COS(Y177))/$A$4</f>
        <v>32.0351697733416</v>
      </c>
      <c r="AQ177" s="25" t="n">
        <f aca="false">180 - AP177 -0.1468*(1-0.0549*SIN(R177))*SIN($A$4*AP177)/(1-0.0167*SIN($A$4*AO177))</f>
        <v>147.883561870634</v>
      </c>
      <c r="AR177" s="25" t="n">
        <f aca="false">SIN($A$4*AI177)</f>
        <v>0.225674175344832</v>
      </c>
      <c r="AS177" s="25" t="n">
        <f aca="false">COS($A$4*AI177)*SIN($A$4*$G$2) - TAN($A$4*AG177)*COS($A$4*$G$2)</f>
        <v>0.309510864458051</v>
      </c>
      <c r="AT177" s="25" t="n">
        <f aca="false">IF(OR(AND(AR177*AS177&gt;0), AND(AR177&lt;0,AS177&gt;0)), MOD(ATAN2(AS177,AR177)/$A$4+360,360),  ATAN2(AS177,AR177)/$A$4)</f>
        <v>36.0969750480026</v>
      </c>
      <c r="AU177" s="29" t="n">
        <f aca="false">(1+SIN($A$4*H177)*SIN($A$4*AJ177))*120*ASIN(0.272481*SIN($A$4*AJ177))/$A$4</f>
        <v>30.3145579945128</v>
      </c>
      <c r="AV177" s="10" t="n">
        <f aca="false">COS(X177)</f>
        <v>-0.999131492735878</v>
      </c>
      <c r="AW177" s="10" t="n">
        <f aca="false">SIN(X177)</f>
        <v>0.0416684559754201</v>
      </c>
      <c r="AX177" s="30" t="n">
        <f aca="false"> 385000.56 + (-20905355*COS(Q177) - 3699111*COS(2*S177-Q177) - 2955968*COS(2*S177) - 569925*COS(2*Q177) + (1-0.002516*M177)*48888*COS(R177) - 3149*COS(2*T177)  +246158*COS(2*S177-2*Q177) -(1-0.002516*M177)*152138*COS(2*S177-R177-Q177) -170733*COS(2*S177+Q177) -(1-0.002516*M177)*204586*COS(2*S177-R177) -(1-0.002516*M177)*129620*COS(R177-Q177)  + 108743*COS(S177) +(1-0.002516*M177)*104755*COS(R177+Q177) +10321*COS(2*S177-2*T177) +79661*COS(Q177-2*T177) -34782*COS(4*S177-Q177) -23210*COS(3*Q177)  -21636*COS(4*S177-2*Q177) +(1-0.002516*M177)*24208*COS(2*S177+R177-Q177) +(1-0.002516*M177)*30824*COS(2*S177+R177) -8379*COS(S177-Q177) -(1-0.002516*M177)*16675*COS(S177+R177)  -(1-0.002516*M177)*12831*COS(2*S177-R177+Q177) -10445*COS(2*S177+2*Q177) -11650*COS(4*S177) +14403*COS(2*S177-3*Q177) -(1-0.002516*M177)*7003*COS(R177-2*Q177)  + (1-0.002516*M177)*10056*COS(2*S177-R177-2*Q177) +6322*COS(S177+Q177) -(1-0.002516*M177)*(1-0.002516*M177)*9884*COS(2*S177-2*R177) +(1-0.002516*M177)*5751*COS(R177+2*Q177) -(1-0.002516*M177)*(1-0.002516*M177)*4950*COS(2*S177-2*R177-Q177)  +4130*COS(2*S177+Q177-2*T177) -(1-0.002516*M177)*3958*COS(4*S177-R177-Q177) +3258*COS(3*S177-Q177) +(1-0.002516*M177)*2616*COS(2*S177+R177+Q177) -(1-0.002516*M177)*1897*COS(4*S177-R177-2*Q177)  -(1-0.002516*M177)*(1-0.002516*M177)*2117*COS(2*R177-Q177) +(1-0.002516*M177)*(1-0.002516*M177)*2354*COS(2*S177+2*R177-Q177) -1423*COS(4*S177+Q177) -1117*COS(4*Q177) -(1-0.002516*M177)*1571*COS(4*S177-R177)  -1739*COS(S177-2*Q177) -4421*COS(2*Q177-2*T177) +(1-0.002516*M177)*(1-0.002516*M177)*1165*COS(2*R177+Q177) +8752*COS(2*S177-Q177-2*T177))/1000</f>
        <v>388031.73537683</v>
      </c>
      <c r="AY177" s="10" t="n">
        <f aca="false">AY176+1/8</f>
        <v>22.875</v>
      </c>
      <c r="AZ177" s="17" t="n">
        <f aca="false">AZ176+1</f>
        <v>176</v>
      </c>
      <c r="BA177" s="32" t="n">
        <f aca="false">ATAN(0.99664719*TAN($A$4*input!$E$2))</f>
        <v>-0.400219206115995</v>
      </c>
      <c r="BB177" s="32" t="n">
        <f aca="false">COS(BA177)</f>
        <v>0.920975608992155</v>
      </c>
      <c r="BC177" s="32" t="n">
        <f aca="false">0.99664719*SIN(BA177)</f>
        <v>-0.388313912533463</v>
      </c>
      <c r="BD177" s="32" t="n">
        <f aca="false">6378.14/AX177</f>
        <v>0.0164371607229651</v>
      </c>
      <c r="BE177" s="33" t="n">
        <f aca="false">MOD(N177-15*AH177,360)</f>
        <v>166.957474745231</v>
      </c>
      <c r="BF177" s="27" t="n">
        <f aca="false">COS($A$4*AG177)*SIN($A$4*BE177)</f>
        <v>0.225003220234361</v>
      </c>
      <c r="BG177" s="27" t="n">
        <f aca="false">COS($A$4*AG177)*COS($A$4*BE177)-BB177*BD177</f>
        <v>-0.986444644222687</v>
      </c>
      <c r="BH177" s="27" t="n">
        <f aca="false">SIN($A$4*AG177)-BC177*BD177</f>
        <v>0.0834372337801006</v>
      </c>
      <c r="BI177" s="46" t="n">
        <f aca="false">SQRT(BF177^2+BG177^2+BH177^2)</f>
        <v>1.0152148822847</v>
      </c>
      <c r="BJ177" s="35" t="n">
        <f aca="false">AX177*BI177</f>
        <v>393935.592553315</v>
      </c>
    </row>
    <row r="178" customFormat="false" ht="15" hidden="false" customHeight="false" outlineLevel="0" collapsed="false">
      <c r="A178" s="20"/>
      <c r="B178" s="20"/>
      <c r="C178" s="15" t="n">
        <f aca="false">MOD(C177+3,24)</f>
        <v>0</v>
      </c>
      <c r="D178" s="36" t="n">
        <v>23</v>
      </c>
      <c r="E178" s="102" t="n">
        <f aca="false">input!$C$2</f>
        <v>10</v>
      </c>
      <c r="F178" s="102" t="n">
        <f aca="false">input!$D$2</f>
        <v>2022</v>
      </c>
      <c r="H178" s="39" t="n">
        <f aca="false">AM178</f>
        <v>-55.1773919811949</v>
      </c>
      <c r="I178" s="48" t="n">
        <f aca="false">H178+1.02/(TAN($A$4*(H178+10.3/(H178+5.11)))*60)</f>
        <v>-55.1891268913654</v>
      </c>
      <c r="J178" s="39" t="n">
        <f aca="false">100*(1+COS($A$4*AQ178))/2</f>
        <v>6.97162015647007</v>
      </c>
      <c r="K178" s="48" t="n">
        <f aca="false">IF(AI178&gt;180,AT178-180,AT178+180)</f>
        <v>118.525857424546</v>
      </c>
      <c r="L178" s="10" t="n">
        <f aca="false">L177+1/8</f>
        <v>2459875.5</v>
      </c>
      <c r="M178" s="49" t="n">
        <f aca="false">(L178-2451545)/36525</f>
        <v>0.22807665982204</v>
      </c>
      <c r="N178" s="15" t="n">
        <f aca="false">MOD(280.46061837+360.98564736629*(L178-2451545)+0.000387933*M178^2-M178^3/38710000+$G$4,360)</f>
        <v>31.3960234285332</v>
      </c>
      <c r="O178" s="18" t="n">
        <f aca="false">0.60643382+1336.85522467*M178 - 0.00000313*M178^2 - INT(0.60643382+1336.85522467*M178 - 0.00000313*M178^2)</f>
        <v>0.511907965556759</v>
      </c>
      <c r="P178" s="15" t="n">
        <f aca="false">22640*SIN(Q178)-4586*SIN(Q178-2*S178)+2370*SIN(2*S178)+769*SIN(2*Q178)-668*SIN(R178)-412*SIN(2*T178)-212*SIN(2*Q178-2*S178)-206*SIN(Q178+R178-2*S178)+192*SIN(Q178+2*S178)-165*SIN(R178-2*S178)-125*SIN(S178)-110*SIN(Q178+R178)+148*SIN(Q178-R178)-55*SIN(2*T178-2*S178)</f>
        <v>-18204.0319800336</v>
      </c>
      <c r="Q178" s="18" t="n">
        <f aca="false">2*PI()*(0.374897+1325.55241*M178 - INT(0.374897+1325.55241*M178))</f>
        <v>4.41370577757862</v>
      </c>
      <c r="R178" s="26" t="n">
        <f aca="false">2*PI()*(0.99312619+99.99735956*M178 - 0.00000044*M178^2 - INT(0.99312619+99.99735956*M178- 0.00000044*M178^2))</f>
        <v>5.02774158964037</v>
      </c>
      <c r="S178" s="26" t="n">
        <f aca="false">2*PI()*(0.827361+1236.853086*M178 - INT(0.827361+1236.853086*M178))</f>
        <v>5.80994550026709</v>
      </c>
      <c r="T178" s="26" t="n">
        <f aca="false">2*PI()*(0.259086+1342.227825*M178 - INT(0.259086+1342.227825*M178))</f>
        <v>2.44997132119305</v>
      </c>
      <c r="U178" s="26" t="n">
        <f aca="false">T178+(P178+412*SIN(2*T178)+541*SIN(R178))/206264.8062</f>
        <v>2.35725977760238</v>
      </c>
      <c r="V178" s="26" t="n">
        <f aca="false">T178-2*S178</f>
        <v>-9.16991967934112</v>
      </c>
      <c r="W178" s="25" t="n">
        <f aca="false">-526*SIN(V178)+44*SIN(Q178+V178)-31*SIN(-Q178+V178)-23*SIN(R178+V178)+11*SIN(-R178+V178)-25*SIN(-2*Q178+T178)+21*SIN(-Q178+T178)</f>
        <v>155.549768118425</v>
      </c>
      <c r="X178" s="26" t="n">
        <f aca="false">2*PI()*(O178+P178/1296000-INT(O178+P178/1296000))</f>
        <v>3.12815697026166</v>
      </c>
      <c r="Y178" s="26" t="n">
        <f aca="false">(18520*SIN(U178)+W178)/206264.8062</f>
        <v>0.064175801848898</v>
      </c>
      <c r="Z178" s="26" t="n">
        <f aca="false">Y178*180/PI()</f>
        <v>3.67700259280972</v>
      </c>
      <c r="AA178" s="26" t="n">
        <f aca="false">COS(Y178)*COS(X178)</f>
        <v>-0.997851368259654</v>
      </c>
      <c r="AB178" s="26" t="n">
        <f aca="false">COS(Y178)*SIN(X178)</f>
        <v>0.0134076217726949</v>
      </c>
      <c r="AC178" s="26" t="n">
        <f aca="false">SIN(Y178)</f>
        <v>0.0641317592206684</v>
      </c>
      <c r="AD178" s="26" t="n">
        <f aca="false">COS($A$4*(23.4393-46.815*M178/3600))*AB178-SIN($A$4*(23.4393-46.815*M178/3600))*AC178</f>
        <v>-0.0132055843053717</v>
      </c>
      <c r="AE178" s="26" t="n">
        <f aca="false">SIN($A$4*(23.4393-46.815*M178/3600))*AB178+COS($A$4*(23.4393-46.815*M178/3600))*AC178</f>
        <v>0.0641736659813911</v>
      </c>
      <c r="AF178" s="26" t="n">
        <f aca="false">SQRT(1-AE178*AE178)</f>
        <v>0.997938745913049</v>
      </c>
      <c r="AG178" s="10" t="n">
        <f aca="false">ATAN(AE178/AF178)/$A$4</f>
        <v>3.67940862954398</v>
      </c>
      <c r="AH178" s="26" t="n">
        <f aca="false">IF(24*ATAN(AD178/(AA178+AF178))/PI()&gt;0,24*ATAN(AD178/(AA178+AF178))/PI(),24*ATAN(AD178/(AA178+AF178))/PI()+24)</f>
        <v>12.050547279476</v>
      </c>
      <c r="AI178" s="10" t="n">
        <f aca="false">IF(N178-15*AH178&gt;0,N178-15*AH178,360+N178-15*AH178)</f>
        <v>210.637814236393</v>
      </c>
      <c r="AJ178" s="18" t="n">
        <f aca="false">0.950724+0.051818*COS(Q178)+0.009531*COS(2*S178-Q178)+0.007843*COS(2*S178)+0.002824*COS(2*Q178)+0.000857*COS(2*S178+Q178)+0.000533*COS(2*S178-R178)+0.000401*COS(2*S178-R178-Q178)+0.00032*COS(Q178-R178)-0.000271*COS(S178)</f>
        <v>0.942964045329388</v>
      </c>
      <c r="AK178" s="50" t="n">
        <f aca="false">ASIN(COS($A$4*$G$2)*COS($A$4*AG178)*COS($A$4*AI178)+SIN($A$4*$G$2)*SIN($A$4*AG178))/$A$4</f>
        <v>-54.6318721836331</v>
      </c>
      <c r="AL178" s="18" t="n">
        <f aca="false">ASIN((0.9983271+0.0016764*COS($A$4*2*$G$2))*COS($A$4*AK178)*SIN($A$4*AJ178))/$A$4</f>
        <v>0.54551979756179</v>
      </c>
      <c r="AM178" s="18" t="n">
        <f aca="false">AK178-AL178</f>
        <v>-55.1773919811949</v>
      </c>
      <c r="AN178" s="10" t="n">
        <f aca="false"> IF(280.4664567 + 360007.6982779*M178/10 + 0.03032028*M178^2/100 + M178^3/49931000&lt;0,MOD(280.4664567 + 360007.6982779*M178/10 + 0.03032028*M178^2/100 + M178^3/49931000+360,360),MOD(280.4664567 + 360007.6982779*M178/10 + 0.03032028*M178^2/100 + M178^3/49931000,360))</f>
        <v>211.401805816944</v>
      </c>
      <c r="AO178" s="27" t="n">
        <f aca="false"> AN178 + (1.9146 - 0.004817*M178 - 0.000014*M178^2)*SIN(R178)+ (0.019993 - 0.000101*M178)*SIN(2*R178)+ 0.00029*SIN(3*R178)</f>
        <v>209.571058542378</v>
      </c>
      <c r="AP178" s="18" t="n">
        <f aca="false">ACOS(COS(X178-$A$4*AO178)*COS(Y178))/$A$4</f>
        <v>30.5417767640436</v>
      </c>
      <c r="AQ178" s="25" t="n">
        <f aca="false">180 - AP178 -0.1468*(1-0.0549*SIN(R178))*SIN($A$4*AP178)/(1-0.0167*SIN($A$4*AO178))</f>
        <v>149.380372487063</v>
      </c>
      <c r="AR178" s="25" t="n">
        <f aca="false">SIN($A$4*AI178)</f>
        <v>-0.509609379889899</v>
      </c>
      <c r="AS178" s="25" t="n">
        <f aca="false">COS($A$4*AI178)*SIN($A$4*$G$2) - TAN($A$4*AG178)*COS($A$4*$G$2)</f>
        <v>0.276993175556169</v>
      </c>
      <c r="AT178" s="25" t="n">
        <f aca="false">IF(OR(AND(AR178*AS178&gt;0), AND(AR178&lt;0,AS178&gt;0)), MOD(ATAN2(AS178,AR178)/$A$4+360,360),  ATAN2(AS178,AR178)/$A$4)</f>
        <v>298.525857424546</v>
      </c>
      <c r="AU178" s="29" t="n">
        <f aca="false">(1+SIN($A$4*H178)*SIN($A$4*AJ178))*120*ASIN(0.272481*SIN($A$4*AJ178))/$A$4</f>
        <v>30.414951951373</v>
      </c>
      <c r="AV178" s="10" t="n">
        <f aca="false">COS(X178)</f>
        <v>-0.99990974256452</v>
      </c>
      <c r="AW178" s="10" t="n">
        <f aca="false">SIN(X178)</f>
        <v>0.0134352791022574</v>
      </c>
      <c r="AX178" s="30" t="n">
        <f aca="false"> 385000.56 + (-20905355*COS(Q178) - 3699111*COS(2*S178-Q178) - 2955968*COS(2*S178) - 569925*COS(2*Q178) + (1-0.002516*M178)*48888*COS(R178) - 3149*COS(2*T178)  +246158*COS(2*S178-2*Q178) -(1-0.002516*M178)*152138*COS(2*S178-R178-Q178) -170733*COS(2*S178+Q178) -(1-0.002516*M178)*204586*COS(2*S178-R178) -(1-0.002516*M178)*129620*COS(R178-Q178)  + 108743*COS(S178) +(1-0.002516*M178)*104755*COS(R178+Q178) +10321*COS(2*S178-2*T178) +79661*COS(Q178-2*T178) -34782*COS(4*S178-Q178) -23210*COS(3*Q178)  -21636*COS(4*S178-2*Q178) +(1-0.002516*M178)*24208*COS(2*S178+R178-Q178) +(1-0.002516*M178)*30824*COS(2*S178+R178) -8379*COS(S178-Q178) -(1-0.002516*M178)*16675*COS(S178+R178)  -(1-0.002516*M178)*12831*COS(2*S178-R178+Q178) -10445*COS(2*S178+2*Q178) -11650*COS(4*S178) +14403*COS(2*S178-3*Q178) -(1-0.002516*M178)*7003*COS(R178-2*Q178)  + (1-0.002516*M178)*10056*COS(2*S178-R178-2*Q178) +6322*COS(S178+Q178) -(1-0.002516*M178)*(1-0.002516*M178)*9884*COS(2*S178-2*R178) +(1-0.002516*M178)*5751*COS(R178+2*Q178) -(1-0.002516*M178)*(1-0.002516*M178)*4950*COS(2*S178-2*R178-Q178)  +4130*COS(2*S178+Q178-2*T178) -(1-0.002516*M178)*3958*COS(4*S178-R178-Q178) +3258*COS(3*S178-Q178) +(1-0.002516*M178)*2616*COS(2*S178+R178+Q178) -(1-0.002516*M178)*1897*COS(4*S178-R178-2*Q178)  -(1-0.002516*M178)*(1-0.002516*M178)*2117*COS(2*R178-Q178) +(1-0.002516*M178)*(1-0.002516*M178)*2354*COS(2*S178+2*R178-Q178) -1423*COS(4*S178+Q178) -1117*COS(4*Q178) -(1-0.002516*M178)*1571*COS(4*S178-R178)  -1739*COS(S178-2*Q178) -4421*COS(2*Q178-2*T178) +(1-0.002516*M178)*(1-0.002516*M178)*1165*COS(2*R178+Q178) +8752*COS(2*S178-Q178-2*T178))/1000</f>
        <v>387428.464595296</v>
      </c>
      <c r="AY178" s="10" t="n">
        <f aca="false">AY177+1/8</f>
        <v>23</v>
      </c>
      <c r="AZ178" s="17" t="n">
        <f aca="false">AZ177+1</f>
        <v>177</v>
      </c>
      <c r="BA178" s="32" t="n">
        <f aca="false">ATAN(0.99664719*TAN($A$4*input!$E$2))</f>
        <v>-0.400219206115995</v>
      </c>
      <c r="BB178" s="32" t="n">
        <f aca="false">COS(BA178)</f>
        <v>0.920975608992155</v>
      </c>
      <c r="BC178" s="32" t="n">
        <f aca="false">0.99664719*SIN(BA178)</f>
        <v>-0.388313912533463</v>
      </c>
      <c r="BD178" s="32" t="n">
        <f aca="false">6378.14/AX178</f>
        <v>0.0164627552770614</v>
      </c>
      <c r="BE178" s="33" t="n">
        <f aca="false">MOD(N178-15*AH178,360)</f>
        <v>210.637814236393</v>
      </c>
      <c r="BF178" s="27" t="n">
        <f aca="false">COS($A$4*AG178)*SIN($A$4*BE178)</f>
        <v>-0.508558945472853</v>
      </c>
      <c r="BG178" s="27" t="n">
        <f aca="false">COS($A$4*AG178)*COS($A$4*BE178)-BB178*BD178</f>
        <v>-0.873794161852273</v>
      </c>
      <c r="BH178" s="27" t="n">
        <f aca="false">SIN($A$4*AG178)-BC178*BD178</f>
        <v>0.0705663828941077</v>
      </c>
      <c r="BI178" s="46" t="n">
        <f aca="false">SQRT(BF178^2+BG178^2+BH178^2)</f>
        <v>1.01347326195728</v>
      </c>
      <c r="BJ178" s="35" t="n">
        <f aca="false">AX178*BI178</f>
        <v>392648.389788496</v>
      </c>
    </row>
    <row r="179" customFormat="false" ht="15" hidden="false" customHeight="false" outlineLevel="0" collapsed="false">
      <c r="A179" s="20"/>
      <c r="B179" s="20"/>
      <c r="C179" s="15" t="n">
        <f aca="false">MOD(C178+3,24)</f>
        <v>3</v>
      </c>
      <c r="D179" s="17" t="n">
        <v>23</v>
      </c>
      <c r="E179" s="102" t="n">
        <f aca="false">input!$C$2</f>
        <v>10</v>
      </c>
      <c r="F179" s="102" t="n">
        <f aca="false">input!$D$2</f>
        <v>2022</v>
      </c>
      <c r="H179" s="39" t="n">
        <f aca="false">AM179</f>
        <v>-16.4857603794843</v>
      </c>
      <c r="I179" s="48" t="n">
        <f aca="false">H179+1.02/(TAN($A$4*(H179+10.3/(H179+5.11)))*60)</f>
        <v>-16.5400366761648</v>
      </c>
      <c r="J179" s="39" t="n">
        <f aca="false">100*(1+COS($A$4*AQ179))/2</f>
        <v>6.31876928084281</v>
      </c>
      <c r="K179" s="48" t="n">
        <f aca="false">IF(AI179&gt;180,AT179-180,AT179+180)</f>
        <v>93.4735606391874</v>
      </c>
      <c r="L179" s="10" t="n">
        <f aca="false">L178+1/8</f>
        <v>2459875.625</v>
      </c>
      <c r="M179" s="49" t="n">
        <f aca="false">(L179-2451545)/36525</f>
        <v>0.228080082135524</v>
      </c>
      <c r="N179" s="15" t="n">
        <f aca="false">MOD(280.46061837+360.98564736629*(L179-2451545)+0.000387933*M179^2-M179^3/38710000+$G$4,360)</f>
        <v>76.5192293496802</v>
      </c>
      <c r="O179" s="18" t="n">
        <f aca="false">0.60643382+1336.85522467*M179 - 0.00000313*M179^2 - INT(0.60643382+1336.85522467*M179 - 0.00000313*M179^2)</f>
        <v>0.516483103213261</v>
      </c>
      <c r="P179" s="15" t="n">
        <f aca="false">22640*SIN(Q179)-4586*SIN(Q179-2*S179)+2370*SIN(2*S179)+769*SIN(2*Q179)-668*SIN(R179)-412*SIN(2*T179)-212*SIN(2*Q179-2*S179)-206*SIN(Q179+R179-2*S179)+192*SIN(Q179+2*S179)-165*SIN(R179-2*S179)-125*SIN(S179)-110*SIN(Q179+R179)+148*SIN(Q179-R179)-55*SIN(2*T179-2*S179)</f>
        <v>-18289.253027508</v>
      </c>
      <c r="Q179" s="18" t="n">
        <f aca="false">2*PI()*(0.374897+1325.55241*M179 - INT(0.374897+1325.55241*M179))</f>
        <v>4.44220917055042</v>
      </c>
      <c r="R179" s="26" t="n">
        <f aca="false">2*PI()*(0.99312619+99.99735956*M179 - 0.00000044*M179^2 - INT(0.99312619+99.99735956*M179- 0.00000044*M179^2))</f>
        <v>5.02989183583847</v>
      </c>
      <c r="S179" s="26" t="n">
        <f aca="false">2*PI()*(0.827361+1236.853086*M179 - INT(0.827361+1236.853086*M179))</f>
        <v>5.83654158903201</v>
      </c>
      <c r="T179" s="26" t="n">
        <f aca="false">2*PI()*(0.259086+1342.227825*M179 - INT(0.259086+1342.227825*M179))</f>
        <v>2.47883328611046</v>
      </c>
      <c r="U179" s="26" t="n">
        <f aca="false">T179+(P179+412*SIN(2*T179)+541*SIN(R179))/206264.8062</f>
        <v>2.38573508904978</v>
      </c>
      <c r="V179" s="26" t="n">
        <f aca="false">T179-2*S179</f>
        <v>-9.19424989195357</v>
      </c>
      <c r="W179" s="25" t="n">
        <f aca="false">-526*SIN(V179)+44*SIN(Q179+V179)-31*SIN(-Q179+V179)-23*SIN(R179+V179)+11*SIN(-R179+V179)-25*SIN(-2*Q179+T179)+21*SIN(-Q179+T179)</f>
        <v>144.406366598283</v>
      </c>
      <c r="X179" s="26" t="n">
        <f aca="false">2*PI()*(O179+P179/1296000-INT(O179+P179/1296000))</f>
        <v>3.15649024466598</v>
      </c>
      <c r="Y179" s="26" t="n">
        <f aca="false">(18520*SIN(U179)+W179)/206264.8062</f>
        <v>0.0622865071199299</v>
      </c>
      <c r="Z179" s="26" t="n">
        <f aca="false">Y179*180/PI()</f>
        <v>3.56875397858354</v>
      </c>
      <c r="AA179" s="26" t="n">
        <f aca="false">COS(Y179)*COS(X179)</f>
        <v>-0.997950070701761</v>
      </c>
      <c r="AB179" s="26" t="n">
        <f aca="false">COS(Y179)*SIN(X179)</f>
        <v>-0.0148681520211066</v>
      </c>
      <c r="AC179" s="26" t="n">
        <f aca="false">SIN(Y179)</f>
        <v>0.0622462403830695</v>
      </c>
      <c r="AD179" s="26" t="n">
        <f aca="false">COS($A$4*(23.4393-46.815*M179/3600))*AB179-SIN($A$4*(23.4393-46.815*M179/3600))*AC179</f>
        <v>-0.0383987529264071</v>
      </c>
      <c r="AE179" s="26" t="n">
        <f aca="false">SIN($A$4*(23.4393-46.815*M179/3600))*AB179+COS($A$4*(23.4393-46.815*M179/3600))*AC179</f>
        <v>0.0511975796307438</v>
      </c>
      <c r="AF179" s="26" t="n">
        <f aca="false">SQRT(1-AE179*AE179)</f>
        <v>0.998688543961506</v>
      </c>
      <c r="AG179" s="10" t="n">
        <f aca="false">ATAN(AE179/AF179)/$A$4</f>
        <v>2.93468825120254</v>
      </c>
      <c r="AH179" s="26" t="n">
        <f aca="false">IF(24*ATAN(AD179/(AA179+AF179))/PI()&gt;0,24*ATAN(AD179/(AA179+AF179))/PI(),24*ATAN(AD179/(AA179+AF179))/PI()+24)</f>
        <v>12.1469012492781</v>
      </c>
      <c r="AI179" s="10" t="n">
        <f aca="false">IF(N179-15*AH179&gt;0,N179-15*AH179,360+N179-15*AH179)</f>
        <v>254.315710610509</v>
      </c>
      <c r="AJ179" s="18" t="n">
        <f aca="false">0.950724+0.051818*COS(Q179)+0.009531*COS(2*S179-Q179)+0.007843*COS(2*S179)+0.002824*COS(2*Q179)+0.000857*COS(2*S179+Q179)+0.000533*COS(2*S179-R179)+0.000401*COS(2*S179-R179-Q179)+0.00032*COS(Q179-R179)-0.000271*COS(S179)</f>
        <v>0.944447765504735</v>
      </c>
      <c r="AK179" s="50" t="n">
        <f aca="false">ASIN(COS($A$4*$G$2)*COS($A$4*AG179)*COS($A$4*AI179)+SIN($A$4*$G$2)*SIN($A$4*AG179))/$A$4</f>
        <v>-15.5764649035937</v>
      </c>
      <c r="AL179" s="18" t="n">
        <f aca="false">ASIN((0.9983271+0.0016764*COS($A$4*2*$G$2))*COS($A$4*AK179)*SIN($A$4*AJ179))/$A$4</f>
        <v>0.909295475890531</v>
      </c>
      <c r="AM179" s="18" t="n">
        <f aca="false">AK179-AL179</f>
        <v>-16.4857603794843</v>
      </c>
      <c r="AN179" s="10" t="n">
        <f aca="false"> IF(280.4664567 + 360007.6982779*M179/10 + 0.03032028*M179^2/100 + M179^3/49931000&lt;0,MOD(280.4664567 + 360007.6982779*M179/10 + 0.03032028*M179^2/100 + M179^3/49931000+360,360),MOD(280.4664567 + 360007.6982779*M179/10 + 0.03032028*M179^2/100 + M179^3/49931000,360))</f>
        <v>211.525011737431</v>
      </c>
      <c r="AO179" s="27" t="n">
        <f aca="false"> AN179 + (1.9146 - 0.004817*M179 - 0.000014*M179^2)*SIN(R179)+ (0.019993 - 0.000101*M179)*SIN(2*R179)+ 0.00029*SIN(3*R179)</f>
        <v>209.695474031619</v>
      </c>
      <c r="AP179" s="18" t="n">
        <f aca="false">ACOS(COS(X179-$A$4*AO179)*COS(Y179))/$A$4</f>
        <v>29.0430170700365</v>
      </c>
      <c r="AQ179" s="25" t="n">
        <f aca="false">180 - AP179 -0.1468*(1-0.0549*SIN(R179))*SIN($A$4*AP179)/(1-0.0167*SIN($A$4*AO179))</f>
        <v>150.882614778583</v>
      </c>
      <c r="AR179" s="25" t="n">
        <f aca="false">SIN($A$4*AI179)</f>
        <v>-0.962765909386011</v>
      </c>
      <c r="AS179" s="25" t="n">
        <f aca="false">COS($A$4*AI179)*SIN($A$4*$G$2) - TAN($A$4*AG179)*COS($A$4*$G$2)</f>
        <v>0.058439364119116</v>
      </c>
      <c r="AT179" s="25" t="n">
        <f aca="false">IF(OR(AND(AR179*AS179&gt;0), AND(AR179&lt;0,AS179&gt;0)), MOD(ATAN2(AS179,AR179)/$A$4+360,360),  ATAN2(AS179,AR179)/$A$4)</f>
        <v>273.473560639187</v>
      </c>
      <c r="AU179" s="29" t="n">
        <f aca="false">(1+SIN($A$4*H179)*SIN($A$4*AJ179))*120*ASIN(0.272481*SIN($A$4*AJ179))/$A$4</f>
        <v>30.7355530786575</v>
      </c>
      <c r="AV179" s="10" t="n">
        <f aca="false">COS(X179)</f>
        <v>-0.999889032942405</v>
      </c>
      <c r="AW179" s="10" t="n">
        <f aca="false">SIN(X179)</f>
        <v>-0.0148970400248288</v>
      </c>
      <c r="AX179" s="30" t="n">
        <f aca="false"> 385000.56 + (-20905355*COS(Q179) - 3699111*COS(2*S179-Q179) - 2955968*COS(2*S179) - 569925*COS(2*Q179) + (1-0.002516*M179)*48888*COS(R179) - 3149*COS(2*T179)  +246158*COS(2*S179-2*Q179) -(1-0.002516*M179)*152138*COS(2*S179-R179-Q179) -170733*COS(2*S179+Q179) -(1-0.002516*M179)*204586*COS(2*S179-R179) -(1-0.002516*M179)*129620*COS(R179-Q179)  + 108743*COS(S179) +(1-0.002516*M179)*104755*COS(R179+Q179) +10321*COS(2*S179-2*T179) +79661*COS(Q179-2*T179) -34782*COS(4*S179-Q179) -23210*COS(3*Q179)  -21636*COS(4*S179-2*Q179) +(1-0.002516*M179)*24208*COS(2*S179+R179-Q179) +(1-0.002516*M179)*30824*COS(2*S179+R179) -8379*COS(S179-Q179) -(1-0.002516*M179)*16675*COS(S179+R179)  -(1-0.002516*M179)*12831*COS(2*S179-R179+Q179) -10445*COS(2*S179+2*Q179) -11650*COS(4*S179) +14403*COS(2*S179-3*Q179) -(1-0.002516*M179)*7003*COS(R179-2*Q179)  + (1-0.002516*M179)*10056*COS(2*S179-R179-2*Q179) +6322*COS(S179+Q179) -(1-0.002516*M179)*(1-0.002516*M179)*9884*COS(2*S179-2*R179) +(1-0.002516*M179)*5751*COS(R179+2*Q179) -(1-0.002516*M179)*(1-0.002516*M179)*4950*COS(2*S179-2*R179-Q179)  +4130*COS(2*S179+Q179-2*T179) -(1-0.002516*M179)*3958*COS(4*S179-R179-Q179) +3258*COS(3*S179-Q179) +(1-0.002516*M179)*2616*COS(2*S179+R179+Q179) -(1-0.002516*M179)*1897*COS(4*S179-R179-2*Q179)  -(1-0.002516*M179)*(1-0.002516*M179)*2117*COS(2*R179-Q179) +(1-0.002516*M179)*(1-0.002516*M179)*2354*COS(2*S179+2*R179-Q179) -1423*COS(4*S179+Q179) -1117*COS(4*Q179) -(1-0.002516*M179)*1571*COS(4*S179-R179)  -1739*COS(S179-2*Q179) -4421*COS(2*Q179-2*T179) +(1-0.002516*M179)*(1-0.002516*M179)*1165*COS(2*R179+Q179) +8752*COS(2*S179-Q179-2*T179))/1000</f>
        <v>386824.668626249</v>
      </c>
      <c r="AY179" s="10" t="n">
        <f aca="false">AY178+1/8</f>
        <v>23.125</v>
      </c>
      <c r="AZ179" s="17" t="n">
        <f aca="false">AZ178+1</f>
        <v>178</v>
      </c>
      <c r="BA179" s="32" t="n">
        <f aca="false">ATAN(0.99664719*TAN($A$4*input!$E$2))</f>
        <v>-0.400219206115995</v>
      </c>
      <c r="BB179" s="32" t="n">
        <f aca="false">COS(BA179)</f>
        <v>0.920975608992155</v>
      </c>
      <c r="BC179" s="32" t="n">
        <f aca="false">0.99664719*SIN(BA179)</f>
        <v>-0.388313912533463</v>
      </c>
      <c r="BD179" s="32" t="n">
        <f aca="false">6378.14/AX179</f>
        <v>0.0164884520489632</v>
      </c>
      <c r="BE179" s="33" t="n">
        <f aca="false">MOD(N179-15*AH179,360)</f>
        <v>254.315710610509</v>
      </c>
      <c r="BF179" s="27" t="n">
        <f aca="false">COS($A$4*AG179)*SIN($A$4*BE179)</f>
        <v>-0.961503284220491</v>
      </c>
      <c r="BG179" s="27" t="n">
        <f aca="false">COS($A$4*AG179)*COS($A$4*BE179)-BB179*BD179</f>
        <v>-0.285167391697913</v>
      </c>
      <c r="BH179" s="27" t="n">
        <f aca="false">SIN($A$4*AG179)-BC179*BD179</f>
        <v>0.0576002749574971</v>
      </c>
      <c r="BI179" s="46" t="n">
        <f aca="false">SQRT(BF179^2+BG179^2+BH179^2)</f>
        <v>1.00455303420465</v>
      </c>
      <c r="BJ179" s="35" t="n">
        <f aca="false">AX179*BI179</f>
        <v>388585.894573705</v>
      </c>
    </row>
    <row r="180" customFormat="false" ht="15" hidden="false" customHeight="false" outlineLevel="0" collapsed="false">
      <c r="A180" s="20"/>
      <c r="B180" s="20"/>
      <c r="C180" s="15" t="n">
        <f aca="false">MOD(C179+3,24)</f>
        <v>6</v>
      </c>
      <c r="D180" s="17" t="n">
        <v>23</v>
      </c>
      <c r="E180" s="102" t="n">
        <f aca="false">input!$C$2</f>
        <v>10</v>
      </c>
      <c r="F180" s="102" t="n">
        <f aca="false">input!$D$2</f>
        <v>2022</v>
      </c>
      <c r="H180" s="39" t="n">
        <f aca="false">AM180</f>
        <v>23.7735245574813</v>
      </c>
      <c r="I180" s="48" t="n">
        <f aca="false">H180+1.02/(TAN($A$4*(H180+10.3/(H180+5.11)))*60)</f>
        <v>23.8114749808611</v>
      </c>
      <c r="J180" s="39" t="n">
        <f aca="false">100*(1+COS($A$4*AQ180))/2</f>
        <v>5.69374216478025</v>
      </c>
      <c r="K180" s="48" t="n">
        <f aca="false">IF(AI180&gt;180,AT180-180,AT180+180)</f>
        <v>76.1009501515728</v>
      </c>
      <c r="L180" s="10" t="n">
        <f aca="false">L179+1/8</f>
        <v>2459875.75</v>
      </c>
      <c r="M180" s="49" t="n">
        <f aca="false">(L180-2451545)/36525</f>
        <v>0.228083504449008</v>
      </c>
      <c r="N180" s="15" t="n">
        <f aca="false">MOD(280.46061837+360.98564736629*(L180-2451545)+0.000387933*M180^2-M180^3/38710000+$G$4,360)</f>
        <v>121.642435271293</v>
      </c>
      <c r="O180" s="18" t="n">
        <f aca="false">0.60643382+1336.85522467*M180 - 0.00000313*M180^2 - INT(0.60643382+1336.85522467*M180 - 0.00000313*M180^2)</f>
        <v>0.52105824086982</v>
      </c>
      <c r="P180" s="15" t="n">
        <f aca="false">22640*SIN(Q180)-4586*SIN(Q180-2*S180)+2370*SIN(2*S180)+769*SIN(2*Q180)-668*SIN(R180)-412*SIN(2*T180)-212*SIN(2*Q180-2*S180)-206*SIN(Q180+R180-2*S180)+192*SIN(Q180+2*S180)-165*SIN(R180-2*S180)-125*SIN(S180)-110*SIN(Q180+R180)+148*SIN(Q180-R180)-55*SIN(2*T180-2*S180)</f>
        <v>-18356.1310673785</v>
      </c>
      <c r="Q180" s="18" t="n">
        <f aca="false">2*PI()*(0.374897+1325.55241*M180 - INT(0.374897+1325.55241*M180))</f>
        <v>4.47071256352222</v>
      </c>
      <c r="R180" s="26" t="n">
        <f aca="false">2*PI()*(0.99312619+99.99735956*M180 - 0.00000044*M180^2 - INT(0.99312619+99.99735956*M180- 0.00000044*M180^2))</f>
        <v>5.03204208203655</v>
      </c>
      <c r="S180" s="26" t="n">
        <f aca="false">2*PI()*(0.827361+1236.853086*M180 - INT(0.827361+1236.853086*M180))</f>
        <v>5.86313767779693</v>
      </c>
      <c r="T180" s="26" t="n">
        <f aca="false">2*PI()*(0.259086+1342.227825*M180 - INT(0.259086+1342.227825*M180))</f>
        <v>2.50769525102821</v>
      </c>
      <c r="U180" s="26" t="n">
        <f aca="false">T180+(P180+412*SIN(2*T180)+541*SIN(R180))/206264.8062</f>
        <v>2.41430579598394</v>
      </c>
      <c r="V180" s="26" t="n">
        <f aca="false">T180-2*S180</f>
        <v>-9.21858010456565</v>
      </c>
      <c r="W180" s="25" t="n">
        <f aca="false">-526*SIN(V180)+44*SIN(Q180+V180)-31*SIN(-Q180+V180)-23*SIN(R180+V180)+11*SIN(-R180+V180)-25*SIN(-2*Q180+T180)+21*SIN(-Q180+T180)</f>
        <v>133.13009043085</v>
      </c>
      <c r="X180" s="26" t="n">
        <f aca="false">2*PI()*(O180+P180/1296000-INT(O180+P180/1296000))</f>
        <v>3.18491244848105</v>
      </c>
      <c r="Y180" s="26" t="n">
        <f aca="false">(18520*SIN(U180)+W180)/206264.8062</f>
        <v>0.060340236782068</v>
      </c>
      <c r="Z180" s="26" t="n">
        <f aca="false">Y180*180/PI()</f>
        <v>3.45724090243255</v>
      </c>
      <c r="AA180" s="26" t="n">
        <f aca="false">COS(Y180)*COS(X180)</f>
        <v>-0.997243631977863</v>
      </c>
      <c r="AB180" s="26" t="n">
        <f aca="false">COS(Y180)*SIN(X180)</f>
        <v>-0.0432274332445349</v>
      </c>
      <c r="AC180" s="26" t="n">
        <f aca="false">SIN(Y180)</f>
        <v>0.0603036275417095</v>
      </c>
      <c r="AD180" s="26" t="n">
        <f aca="false">COS($A$4*(23.4393-46.815*M180/3600))*AB180-SIN($A$4*(23.4393-46.815*M180/3600))*AC180</f>
        <v>-0.063645831863811</v>
      </c>
      <c r="AE180" s="26" t="n">
        <f aca="false">SIN($A$4*(23.4393-46.815*M180/3600))*AB180+COS($A$4*(23.4393-46.815*M180/3600))*AC180</f>
        <v>0.0381358960293768</v>
      </c>
      <c r="AF180" s="26" t="n">
        <f aca="false">SQRT(1-AE180*AE180)</f>
        <v>0.999272562134094</v>
      </c>
      <c r="AG180" s="10" t="n">
        <f aca="false">ATAN(AE180/AF180)/$A$4</f>
        <v>2.18555586817012</v>
      </c>
      <c r="AH180" s="26" t="n">
        <f aca="false">IF(24*ATAN(AD180/(AA180+AF180))/PI()&gt;0,24*ATAN(AD180/(AA180+AF180))/PI(),24*ATAN(AD180/(AA180+AF180))/PI()+24)</f>
        <v>12.2434509360019</v>
      </c>
      <c r="AI180" s="10" t="n">
        <f aca="false">IF(N180-15*AH180&gt;0,N180-15*AH180,360+N180-15*AH180)</f>
        <v>297.990671231265</v>
      </c>
      <c r="AJ180" s="18" t="n">
        <f aca="false">0.950724+0.051818*COS(Q180)+0.009531*COS(2*S180-Q180)+0.007843*COS(2*S180)+0.002824*COS(2*Q180)+0.000857*COS(2*S180+Q180)+0.000533*COS(2*S180-R180)+0.000401*COS(2*S180-R180-Q180)+0.00032*COS(Q180-R180)-0.000271*COS(S180)</f>
        <v>0.945937349298223</v>
      </c>
      <c r="AK180" s="50" t="n">
        <f aca="false">ASIN(COS($A$4*$G$2)*COS($A$4*AG180)*COS($A$4*AI180)+SIN($A$4*$G$2)*SIN($A$4*AG180))/$A$4</f>
        <v>24.632934517944</v>
      </c>
      <c r="AL180" s="18" t="n">
        <f aca="false">ASIN((0.9983271+0.0016764*COS($A$4*2*$G$2))*COS($A$4*AK180)*SIN($A$4*AJ180))/$A$4</f>
        <v>0.859409960462715</v>
      </c>
      <c r="AM180" s="18" t="n">
        <f aca="false">AK180-AL180</f>
        <v>23.7735245574813</v>
      </c>
      <c r="AN180" s="10" t="n">
        <f aca="false"> IF(280.4664567 + 360007.6982779*M180/10 + 0.03032028*M180^2/100 + M180^3/49931000&lt;0,MOD(280.4664567 + 360007.6982779*M180/10 + 0.03032028*M180^2/100 + M180^3/49931000+360,360),MOD(280.4664567 + 360007.6982779*M180/10 + 0.03032028*M180^2/100 + M180^3/49931000,360))</f>
        <v>211.648217657916</v>
      </c>
      <c r="AO180" s="27" t="n">
        <f aca="false"> AN180 + (1.9146 - 0.004817*M180 - 0.000014*M180^2)*SIN(R180)+ (0.019993 - 0.000101*M180)*SIN(2*R180)+ 0.00029*SIN(3*R180)</f>
        <v>209.819898137901</v>
      </c>
      <c r="AP180" s="18" t="n">
        <f aca="false">ACOS(COS(X180-$A$4*AO180)*COS(Y180))/$A$4</f>
        <v>27.5388745771663</v>
      </c>
      <c r="AQ180" s="25" t="n">
        <f aca="false">180 - AP180 -0.1468*(1-0.0549*SIN(R180))*SIN($A$4*AP180)/(1-0.0167*SIN($A$4*AO180))</f>
        <v>152.390303062636</v>
      </c>
      <c r="AR180" s="25" t="n">
        <f aca="false">SIN($A$4*AI180)</f>
        <v>-0.88302401944925</v>
      </c>
      <c r="AS180" s="25" t="n">
        <f aca="false">COS($A$4*AI180)*SIN($A$4*$G$2) - TAN($A$4*AG180)*COS($A$4*$G$2)</f>
        <v>-0.218510811925285</v>
      </c>
      <c r="AT180" s="25" t="n">
        <f aca="false">IF(OR(AND(AR180*AS180&gt;0), AND(AR180&lt;0,AS180&gt;0)), MOD(ATAN2(AS180,AR180)/$A$4+360,360),  ATAN2(AS180,AR180)/$A$4)</f>
        <v>256.100950151573</v>
      </c>
      <c r="AU180" s="29" t="n">
        <f aca="false">(1+SIN($A$4*H180)*SIN($A$4*AJ180))*120*ASIN(0.272481*SIN($A$4*AJ180))/$A$4</f>
        <v>31.1345285117687</v>
      </c>
      <c r="AV180" s="10" t="n">
        <f aca="false">COS(X180)</f>
        <v>-0.999061844411317</v>
      </c>
      <c r="AW180" s="10" t="n">
        <f aca="false">SIN(X180)</f>
        <v>-0.043306247141231</v>
      </c>
      <c r="AX180" s="30" t="n">
        <f aca="false"> 385000.56 + (-20905355*COS(Q180) - 3699111*COS(2*S180-Q180) - 2955968*COS(2*S180) - 569925*COS(2*Q180) + (1-0.002516*M180)*48888*COS(R180) - 3149*COS(2*T180)  +246158*COS(2*S180-2*Q180) -(1-0.002516*M180)*152138*COS(2*S180-R180-Q180) -170733*COS(2*S180+Q180) -(1-0.002516*M180)*204586*COS(2*S180-R180) -(1-0.002516*M180)*129620*COS(R180-Q180)  + 108743*COS(S180) +(1-0.002516*M180)*104755*COS(R180+Q180) +10321*COS(2*S180-2*T180) +79661*COS(Q180-2*T180) -34782*COS(4*S180-Q180) -23210*COS(3*Q180)  -21636*COS(4*S180-2*Q180) +(1-0.002516*M180)*24208*COS(2*S180+R180-Q180) +(1-0.002516*M180)*30824*COS(2*S180+R180) -8379*COS(S180-Q180) -(1-0.002516*M180)*16675*COS(S180+R180)  -(1-0.002516*M180)*12831*COS(2*S180-R180+Q180) -10445*COS(2*S180+2*Q180) -11650*COS(4*S180) +14403*COS(2*S180-3*Q180) -(1-0.002516*M180)*7003*COS(R180-2*Q180)  + (1-0.002516*M180)*10056*COS(2*S180-R180-2*Q180) +6322*COS(S180+Q180) -(1-0.002516*M180)*(1-0.002516*M180)*9884*COS(2*S180-2*R180) +(1-0.002516*M180)*5751*COS(R180+2*Q180) -(1-0.002516*M180)*(1-0.002516*M180)*4950*COS(2*S180-2*R180-Q180)  +4130*COS(2*S180+Q180-2*T180) -(1-0.002516*M180)*3958*COS(4*S180-R180-Q180) +3258*COS(3*S180-Q180) +(1-0.002516*M180)*2616*COS(2*S180+R180+Q180) -(1-0.002516*M180)*1897*COS(4*S180-R180-2*Q180)  -(1-0.002516*M180)*(1-0.002516*M180)*2117*COS(2*R180-Q180) +(1-0.002516*M180)*(1-0.002516*M180)*2354*COS(2*S180+2*R180-Q180) -1423*COS(4*S180+Q180) -1117*COS(4*Q180) -(1-0.002516*M180)*1571*COS(4*S180-R180)  -1739*COS(S180-2*Q180) -4421*COS(2*Q180-2*T180) +(1-0.002516*M180)*(1-0.002516*M180)*1165*COS(2*R180+Q180) +8752*COS(2*S180-Q180-2*T180))/1000</f>
        <v>386221.079316566</v>
      </c>
      <c r="AY180" s="10" t="n">
        <f aca="false">AY179+1/8</f>
        <v>23.25</v>
      </c>
      <c r="AZ180" s="17" t="n">
        <f aca="false">AZ179+1</f>
        <v>179</v>
      </c>
      <c r="BA180" s="32" t="n">
        <f aca="false">ATAN(0.99664719*TAN($A$4*input!$E$2))</f>
        <v>-0.400219206115995</v>
      </c>
      <c r="BB180" s="32" t="n">
        <f aca="false">COS(BA180)</f>
        <v>0.920975608992155</v>
      </c>
      <c r="BC180" s="32" t="n">
        <f aca="false">0.99664719*SIN(BA180)</f>
        <v>-0.388313912533463</v>
      </c>
      <c r="BD180" s="32" t="n">
        <f aca="false">6378.14/AX180</f>
        <v>0.0165142203301963</v>
      </c>
      <c r="BE180" s="33" t="n">
        <f aca="false">MOD(N180-15*AH180,360)</f>
        <v>297.990671231265</v>
      </c>
      <c r="BF180" s="27" t="n">
        <f aca="false">COS($A$4*AG180)*SIN($A$4*BE180)</f>
        <v>-0.882381674340998</v>
      </c>
      <c r="BG180" s="27" t="n">
        <f aca="false">COS($A$4*AG180)*COS($A$4*BE180)-BB180*BD180</f>
        <v>0.453777196104631</v>
      </c>
      <c r="BH180" s="27" t="n">
        <f aca="false">SIN($A$4*AG180)-BC180*BD180</f>
        <v>0.044548597538235</v>
      </c>
      <c r="BI180" s="46" t="n">
        <f aca="false">SQRT(BF180^2+BG180^2+BH180^2)</f>
        <v>0.993224919371251</v>
      </c>
      <c r="BJ180" s="35" t="n">
        <f aca="false">AX180*BI180</f>
        <v>383604.400363674</v>
      </c>
    </row>
    <row r="181" customFormat="false" ht="15" hidden="false" customHeight="false" outlineLevel="0" collapsed="false">
      <c r="A181" s="20"/>
      <c r="B181" s="20"/>
      <c r="C181" s="15" t="n">
        <f aca="false">MOD(C180+3,24)</f>
        <v>9</v>
      </c>
      <c r="D181" s="17" t="n">
        <v>23</v>
      </c>
      <c r="E181" s="102" t="n">
        <f aca="false">input!$C$2</f>
        <v>10</v>
      </c>
      <c r="F181" s="102" t="n">
        <f aca="false">input!$D$2</f>
        <v>2022</v>
      </c>
      <c r="H181" s="39" t="n">
        <f aca="false">AM181</f>
        <v>59.2595394560336</v>
      </c>
      <c r="I181" s="48" t="n">
        <f aca="false">H181+1.02/(TAN($A$4*(H181+10.3/(H181+5.11)))*60)</f>
        <v>59.2695853990003</v>
      </c>
      <c r="J181" s="39" t="n">
        <f aca="false">100*(1+COS($A$4*AQ181))/2</f>
        <v>5.09730039427712</v>
      </c>
      <c r="K181" s="48" t="n">
        <f aca="false">IF(AI181&gt;180,AT181-180,AT181+180)</f>
        <v>38.6147871606563</v>
      </c>
      <c r="L181" s="10" t="n">
        <f aca="false">L180+1/8</f>
        <v>2459875.875</v>
      </c>
      <c r="M181" s="49" t="n">
        <f aca="false">(L181-2451545)/36525</f>
        <v>0.228086926762491</v>
      </c>
      <c r="N181" s="15" t="n">
        <f aca="false">MOD(280.46061837+360.98564736629*(L181-2451545)+0.000387933*M181^2-M181^3/38710000+$G$4,360)</f>
        <v>166.76564119244</v>
      </c>
      <c r="O181" s="18" t="n">
        <f aca="false">0.60643382+1336.85522467*M181 - 0.00000313*M181^2 - INT(0.60643382+1336.85522467*M181 - 0.00000313*M181^2)</f>
        <v>0.525633378526379</v>
      </c>
      <c r="P181" s="15" t="n">
        <f aca="false">22640*SIN(Q181)-4586*SIN(Q181-2*S181)+2370*SIN(2*S181)+769*SIN(2*Q181)-668*SIN(R181)-412*SIN(2*T181)-212*SIN(2*Q181-2*S181)-206*SIN(Q181+R181-2*S181)+192*SIN(Q181+2*S181)-165*SIN(R181-2*S181)-125*SIN(S181)-110*SIN(Q181+R181)+148*SIN(Q181-R181)-55*SIN(2*T181-2*S181)</f>
        <v>-18404.5861422983</v>
      </c>
      <c r="Q181" s="18" t="n">
        <f aca="false">2*PI()*(0.374897+1325.55241*M181 - INT(0.374897+1325.55241*M181))</f>
        <v>4.49921595649437</v>
      </c>
      <c r="R181" s="26" t="n">
        <f aca="false">2*PI()*(0.99312619+99.99735956*M181 - 0.00000044*M181^2 - INT(0.99312619+99.99735956*M181- 0.00000044*M181^2))</f>
        <v>5.03419232823466</v>
      </c>
      <c r="S181" s="26" t="n">
        <f aca="false">2*PI()*(0.827361+1236.853086*M181 - INT(0.827361+1236.853086*M181))</f>
        <v>5.88973376656186</v>
      </c>
      <c r="T181" s="26" t="n">
        <f aca="false">2*PI()*(0.259086+1342.227825*M181 - INT(0.259086+1342.227825*M181))</f>
        <v>2.53655721594597</v>
      </c>
      <c r="U181" s="26" t="n">
        <f aca="false">T181+(P181+412*SIN(2*T181)+541*SIN(R181))/206264.8062</f>
        <v>2.44297218207788</v>
      </c>
      <c r="V181" s="26" t="n">
        <f aca="false">T181-2*S181</f>
        <v>-9.24291031717774</v>
      </c>
      <c r="W181" s="25" t="n">
        <f aca="false">-526*SIN(V181)+44*SIN(Q181+V181)-31*SIN(-Q181+V181)-23*SIN(R181+V181)+11*SIN(-R181+V181)-25*SIN(-2*Q181+T181)+21*SIN(-Q181+T181)</f>
        <v>121.725803296267</v>
      </c>
      <c r="X181" s="26" t="n">
        <f aca="false">2*PI()*(O181+P181/1296000-INT(O181+P181/1296000))</f>
        <v>3.21342396935066</v>
      </c>
      <c r="Y181" s="26" t="n">
        <f aca="false">(18520*SIN(U181)+W181)/206264.8062</f>
        <v>0.0583380431892055</v>
      </c>
      <c r="Z181" s="26" t="n">
        <f aca="false">Y181*180/PI()</f>
        <v>3.34252365979339</v>
      </c>
      <c r="AA181" s="26" t="n">
        <f aca="false">COS(Y181)*COS(X181)</f>
        <v>-0.99572444598562</v>
      </c>
      <c r="AB181" s="26" t="n">
        <f aca="false">COS(Y181)*SIN(X181)</f>
        <v>-0.0716474668833248</v>
      </c>
      <c r="AC181" s="26" t="n">
        <f aca="false">SIN(Y181)</f>
        <v>0.0583049582439804</v>
      </c>
      <c r="AD181" s="26" t="n">
        <f aca="false">COS($A$4*(23.4393-46.815*M181/3600))*AB181-SIN($A$4*(23.4393-46.815*M181/3600))*AC181</f>
        <v>-0.08892635599675</v>
      </c>
      <c r="AE181" s="26" t="n">
        <f aca="false">SIN($A$4*(23.4393-46.815*M181/3600))*AB181+COS($A$4*(23.4393-46.815*M181/3600))*AC181</f>
        <v>0.0249986174771468</v>
      </c>
      <c r="AF181" s="26" t="n">
        <f aca="false">SQRT(1-AE181*AE181)</f>
        <v>0.999687485729531</v>
      </c>
      <c r="AG181" s="10" t="n">
        <f aca="false">ATAN(AE181/AF181)/$A$4</f>
        <v>1.43246450007772</v>
      </c>
      <c r="AH181" s="26" t="n">
        <f aca="false">IF(24*ATAN(AD181/(AA181+AF181))/PI()&gt;0,24*ATAN(AD181/(AA181+AF181))/PI(),24*ATAN(AD181/(AA181+AF181))/PI()+24)</f>
        <v>12.3402295523037</v>
      </c>
      <c r="AI181" s="10" t="n">
        <f aca="false">IF(N181-15*AH181&gt;0,N181-15*AH181,360+N181-15*AH181)</f>
        <v>341.662197907884</v>
      </c>
      <c r="AJ181" s="18" t="n">
        <f aca="false">0.950724+0.051818*COS(Q181)+0.009531*COS(2*S181-Q181)+0.007843*COS(2*S181)+0.002824*COS(2*Q181)+0.000857*COS(2*S181+Q181)+0.000533*COS(2*S181-R181)+0.000401*COS(2*S181-R181-Q181)+0.00032*COS(Q181-R181)-0.000271*COS(S181)</f>
        <v>0.947430937178271</v>
      </c>
      <c r="AK181" s="50" t="n">
        <f aca="false">ASIN(COS($A$4*$G$2)*COS($A$4*AG181)*COS($A$4*AI181)+SIN($A$4*$G$2)*SIN($A$4*AG181))/$A$4</f>
        <v>59.7367606387113</v>
      </c>
      <c r="AL181" s="18" t="n">
        <f aca="false">ASIN((0.9983271+0.0016764*COS($A$4*2*$G$2))*COS($A$4*AK181)*SIN($A$4*AJ181))/$A$4</f>
        <v>0.477221182677658</v>
      </c>
      <c r="AM181" s="18" t="n">
        <f aca="false">AK181-AL181</f>
        <v>59.2595394560336</v>
      </c>
      <c r="AN181" s="10" t="n">
        <f aca="false"> IF(280.4664567 + 360007.6982779*M181/10 + 0.03032028*M181^2/100 + M181^3/49931000&lt;0,MOD(280.4664567 + 360007.6982779*M181/10 + 0.03032028*M181^2/100 + M181^3/49931000+360,360),MOD(280.4664567 + 360007.6982779*M181/10 + 0.03032028*M181^2/100 + M181^3/49931000,360))</f>
        <v>211.771423578402</v>
      </c>
      <c r="AO181" s="27" t="n">
        <f aca="false"> AN181 + (1.9146 - 0.004817*M181 - 0.000014*M181^2)*SIN(R181)+ (0.019993 - 0.000101*M181)*SIN(2*R181)+ 0.00029*SIN(3*R181)</f>
        <v>209.944330856611</v>
      </c>
      <c r="AP181" s="18" t="n">
        <f aca="false">ACOS(COS(X181-$A$4*AO181)*COS(Y181))/$A$4</f>
        <v>26.0293441564086</v>
      </c>
      <c r="AQ181" s="25" t="n">
        <f aca="false">180 - AP181 -0.1468*(1-0.0549*SIN(R181))*SIN($A$4*AP181)/(1-0.0167*SIN($A$4*AO181))</f>
        <v>153.903440562826</v>
      </c>
      <c r="AR181" s="25" t="n">
        <f aca="false">SIN($A$4*AI181)</f>
        <v>-0.314618790951669</v>
      </c>
      <c r="AS181" s="25" t="n">
        <f aca="false">COS($A$4*AI181)*SIN($A$4*$G$2) - TAN($A$4*AG181)*COS($A$4*$G$2)</f>
        <v>-0.393907604825559</v>
      </c>
      <c r="AT181" s="25" t="n">
        <f aca="false">IF(OR(AND(AR181*AS181&gt;0), AND(AR181&lt;0,AS181&gt;0)), MOD(ATAN2(AS181,AR181)/$A$4+360,360),  ATAN2(AS181,AR181)/$A$4)</f>
        <v>218.614787160656</v>
      </c>
      <c r="AU181" s="29" t="n">
        <f aca="false">(1+SIN($A$4*H181)*SIN($A$4*AJ181))*120*ASIN(0.272481*SIN($A$4*AJ181))/$A$4</f>
        <v>31.4177685599181</v>
      </c>
      <c r="AV181" s="10" t="n">
        <f aca="false">COS(X181)</f>
        <v>-0.997421240134571</v>
      </c>
      <c r="AW181" s="10" t="n">
        <f aca="false">SIN(X181)</f>
        <v>-0.0717695599012124</v>
      </c>
      <c r="AX181" s="30" t="n">
        <f aca="false"> 385000.56 + (-20905355*COS(Q181) - 3699111*COS(2*S181-Q181) - 2955968*COS(2*S181) - 569925*COS(2*Q181) + (1-0.002516*M181)*48888*COS(R181) - 3149*COS(2*T181)  +246158*COS(2*S181-2*Q181) -(1-0.002516*M181)*152138*COS(2*S181-R181-Q181) -170733*COS(2*S181+Q181) -(1-0.002516*M181)*204586*COS(2*S181-R181) -(1-0.002516*M181)*129620*COS(R181-Q181)  + 108743*COS(S181) +(1-0.002516*M181)*104755*COS(R181+Q181) +10321*COS(2*S181-2*T181) +79661*COS(Q181-2*T181) -34782*COS(4*S181-Q181) -23210*COS(3*Q181)  -21636*COS(4*S181-2*Q181) +(1-0.002516*M181)*24208*COS(2*S181+R181-Q181) +(1-0.002516*M181)*30824*COS(2*S181+R181) -8379*COS(S181-Q181) -(1-0.002516*M181)*16675*COS(S181+R181)  -(1-0.002516*M181)*12831*COS(2*S181-R181+Q181) -10445*COS(2*S181+2*Q181) -11650*COS(4*S181) +14403*COS(2*S181-3*Q181) -(1-0.002516*M181)*7003*COS(R181-2*Q181)  + (1-0.002516*M181)*10056*COS(2*S181-R181-2*Q181) +6322*COS(S181+Q181) -(1-0.002516*M181)*(1-0.002516*M181)*9884*COS(2*S181-2*R181) +(1-0.002516*M181)*5751*COS(R181+2*Q181) -(1-0.002516*M181)*(1-0.002516*M181)*4950*COS(2*S181-2*R181-Q181)  +4130*COS(2*S181+Q181-2*T181) -(1-0.002516*M181)*3958*COS(4*S181-R181-Q181) +3258*COS(3*S181-Q181) +(1-0.002516*M181)*2616*COS(2*S181+R181+Q181) -(1-0.002516*M181)*1897*COS(4*S181-R181-2*Q181)  -(1-0.002516*M181)*(1-0.002516*M181)*2117*COS(2*R181-Q181) +(1-0.002516*M181)*(1-0.002516*M181)*2354*COS(2*S181+2*R181-Q181) -1423*COS(4*S181+Q181) -1117*COS(4*Q181) -(1-0.002516*M181)*1571*COS(4*S181-R181)  -1739*COS(S181-2*Q181) -4421*COS(2*Q181-2*T181) +(1-0.002516*M181)*(1-0.002516*M181)*1165*COS(2*R181+Q181) +8752*COS(2*S181-Q181-2*T181))/1000</f>
        <v>385618.425675932</v>
      </c>
      <c r="AY181" s="10" t="n">
        <f aca="false">AY180+1/8</f>
        <v>23.375</v>
      </c>
      <c r="AZ181" s="17" t="n">
        <f aca="false">AZ180+1</f>
        <v>180</v>
      </c>
      <c r="BA181" s="32" t="n">
        <f aca="false">ATAN(0.99664719*TAN($A$4*input!$E$2))</f>
        <v>-0.400219206115995</v>
      </c>
      <c r="BB181" s="32" t="n">
        <f aca="false">COS(BA181)</f>
        <v>0.920975608992155</v>
      </c>
      <c r="BC181" s="32" t="n">
        <f aca="false">0.99664719*SIN(BA181)</f>
        <v>-0.388313912533463</v>
      </c>
      <c r="BD181" s="32" t="n">
        <f aca="false">6378.14/AX181</f>
        <v>0.0165400291462216</v>
      </c>
      <c r="BE181" s="33" t="n">
        <f aca="false">MOD(N181-15*AH181,360)</f>
        <v>341.662197907884</v>
      </c>
      <c r="BF181" s="27" t="n">
        <f aca="false">COS($A$4*AG181)*SIN($A$4*BE181)</f>
        <v>-0.314520468089739</v>
      </c>
      <c r="BG181" s="27" t="n">
        <f aca="false">COS($A$4*AG181)*COS($A$4*BE181)-BB181*BD181</f>
        <v>0.933688500287626</v>
      </c>
      <c r="BH181" s="27" t="n">
        <f aca="false">SIN($A$4*AG181)-BC181*BD181</f>
        <v>0.0314213409083336</v>
      </c>
      <c r="BI181" s="46" t="n">
        <f aca="false">SQRT(BF181^2+BG181^2+BH181^2)</f>
        <v>0.98574065609633</v>
      </c>
      <c r="BJ181" s="35" t="n">
        <f aca="false">AX181*BI181</f>
        <v>380119.759928627</v>
      </c>
    </row>
    <row r="182" customFormat="false" ht="15" hidden="false" customHeight="false" outlineLevel="0" collapsed="false">
      <c r="A182" s="20"/>
      <c r="B182" s="20"/>
      <c r="C182" s="15" t="n">
        <f aca="false">MOD(C181+3,24)</f>
        <v>12</v>
      </c>
      <c r="D182" s="17" t="n">
        <v>23</v>
      </c>
      <c r="E182" s="102" t="n">
        <f aca="false">input!$C$2</f>
        <v>10</v>
      </c>
      <c r="F182" s="102" t="n">
        <f aca="false">input!$D$2</f>
        <v>2022</v>
      </c>
      <c r="H182" s="39" t="n">
        <f aca="false">AM182</f>
        <v>55.2938078462047</v>
      </c>
      <c r="I182" s="48" t="n">
        <f aca="false">H182+1.02/(TAN($A$4*(H182+10.3/(H182+5.11)))*60)</f>
        <v>55.3055072132032</v>
      </c>
      <c r="J182" s="39" t="n">
        <f aca="false">100*(1+COS($A$4*AQ182))/2</f>
        <v>4.53019931475679</v>
      </c>
      <c r="K182" s="48" t="n">
        <f aca="false">IF(AI182&gt;180,AT182-180,AT182+180)</f>
        <v>310.393427791041</v>
      </c>
      <c r="L182" s="10" t="n">
        <f aca="false">L181+1/8</f>
        <v>2459876</v>
      </c>
      <c r="M182" s="49" t="n">
        <f aca="false">(L182-2451545)/36525</f>
        <v>0.228090349075975</v>
      </c>
      <c r="N182" s="15" t="n">
        <f aca="false">MOD(280.46061837+360.98564736629*(L182-2451545)+0.000387933*M182^2-M182^3/38710000+$G$4,360)</f>
        <v>211.888847113587</v>
      </c>
      <c r="O182" s="18" t="n">
        <f aca="false">0.60643382+1336.85522467*M182 - 0.00000313*M182^2 - INT(0.60643382+1336.85522467*M182 - 0.00000313*M182^2)</f>
        <v>0.530208516182938</v>
      </c>
      <c r="P182" s="15" t="n">
        <f aca="false">22640*SIN(Q182)-4586*SIN(Q182-2*S182)+2370*SIN(2*S182)+769*SIN(2*Q182)-668*SIN(R182)-412*SIN(2*T182)-212*SIN(2*Q182-2*S182)-206*SIN(Q182+R182-2*S182)+192*SIN(Q182+2*S182)-165*SIN(R182-2*S182)-125*SIN(S182)-110*SIN(Q182+R182)+148*SIN(Q182-R182)-55*SIN(2*T182-2*S182)</f>
        <v>-18434.5609103797</v>
      </c>
      <c r="Q182" s="18" t="n">
        <f aca="false">2*PI()*(0.374897+1325.55241*M182 - INT(0.374897+1325.55241*M182))</f>
        <v>4.52771934946653</v>
      </c>
      <c r="R182" s="26" t="n">
        <f aca="false">2*PI()*(0.99312619+99.99735956*M182 - 0.00000044*M182^2 - INT(0.99312619+99.99735956*M182- 0.00000044*M182^2))</f>
        <v>5.03634257443276</v>
      </c>
      <c r="S182" s="26" t="n">
        <f aca="false">2*PI()*(0.827361+1236.853086*M182 - INT(0.827361+1236.853086*M182))</f>
        <v>5.91632985532678</v>
      </c>
      <c r="T182" s="26" t="n">
        <f aca="false">2*PI()*(0.259086+1342.227825*M182 - INT(0.259086+1342.227825*M182))</f>
        <v>2.56541918086338</v>
      </c>
      <c r="U182" s="26" t="n">
        <f aca="false">T182+(P182+412*SIN(2*T182)+541*SIN(R182))/206264.8062</f>
        <v>2.47173440020712</v>
      </c>
      <c r="V182" s="26" t="n">
        <f aca="false">T182-2*S182</f>
        <v>-9.26724052979018</v>
      </c>
      <c r="W182" s="25" t="n">
        <f aca="false">-526*SIN(V182)+44*SIN(Q182+V182)-31*SIN(-Q182+V182)-23*SIN(R182+V182)+11*SIN(-R182+V182)-25*SIN(-2*Q182+T182)+21*SIN(-Q182+T182)</f>
        <v>110.198616409081</v>
      </c>
      <c r="X182" s="26" t="n">
        <f aca="false">2*PI()*(O182+P182/1296000-INT(O182+P182/1296000))</f>
        <v>3.24202508527614</v>
      </c>
      <c r="Y182" s="26" t="n">
        <f aca="false">(18520*SIN(U182)+W182)/206264.8062</f>
        <v>0.0562810570901239</v>
      </c>
      <c r="Z182" s="26" t="n">
        <f aca="false">Y182*180/PI()</f>
        <v>3.22466703779894</v>
      </c>
      <c r="AA182" s="26" t="n">
        <f aca="false">COS(Y182)*COS(X182)</f>
        <v>-0.993385519147639</v>
      </c>
      <c r="AB182" s="26" t="n">
        <f aca="false">COS(Y182)*SIN(X182)</f>
        <v>-0.100104925062016</v>
      </c>
      <c r="AC182" s="26" t="n">
        <f aca="false">SIN(Y182)</f>
        <v>0.0562513495491739</v>
      </c>
      <c r="AD182" s="26" t="n">
        <f aca="false">COS($A$4*(23.4393-46.815*M182/3600))*AB182-SIN($A$4*(23.4393-46.815*M182/3600))*AC182</f>
        <v>-0.11421936622698</v>
      </c>
      <c r="AE182" s="26" t="n">
        <f aca="false">SIN($A$4*(23.4393-46.815*M182/3600))*AB182+COS($A$4*(23.4393-46.815*M182/3600))*AC182</f>
        <v>0.0117960470701899</v>
      </c>
      <c r="AF182" s="26" t="n">
        <f aca="false">SQRT(1-AE182*AE182)</f>
        <v>0.999930424216364</v>
      </c>
      <c r="AG182" s="10" t="n">
        <f aca="false">ATAN(AE182/AF182)/$A$4</f>
        <v>0.675879387078248</v>
      </c>
      <c r="AH182" s="26" t="n">
        <f aca="false">IF(24*ATAN(AD182/(AA182+AF182))/PI()&gt;0,24*ATAN(AD182/(AA182+AF182))/PI(),24*ATAN(AD182/(AA182+AF182))/PI()+24)</f>
        <v>12.4372706468897</v>
      </c>
      <c r="AI182" s="10" t="n">
        <f aca="false">IF(N182-15*AH182&gt;0,N182-15*AH182,360+N182-15*AH182)</f>
        <v>25.3297874102421</v>
      </c>
      <c r="AJ182" s="18" t="n">
        <f aca="false">0.950724+0.051818*COS(Q182)+0.009531*COS(2*S182-Q182)+0.007843*COS(2*S182)+0.002824*COS(2*Q182)+0.000857*COS(2*S182+Q182)+0.000533*COS(2*S182-R182)+0.000401*COS(2*S182-R182-Q182)+0.00032*COS(Q182-R182)-0.000271*COS(S182)</f>
        <v>0.94892664850999</v>
      </c>
      <c r="AK182" s="50" t="n">
        <f aca="false">ASIN(COS($A$4*$G$2)*COS($A$4*AG182)*COS($A$4*AI182)+SIN($A$4*$G$2)*SIN($A$4*AG182))/$A$4</f>
        <v>55.8265325919898</v>
      </c>
      <c r="AL182" s="18" t="n">
        <f aca="false">ASIN((0.9983271+0.0016764*COS($A$4*2*$G$2))*COS($A$4*AK182)*SIN($A$4*AJ182))/$A$4</f>
        <v>0.532724745785108</v>
      </c>
      <c r="AM182" s="18" t="n">
        <f aca="false">AK182-AL182</f>
        <v>55.2938078462047</v>
      </c>
      <c r="AN182" s="10" t="n">
        <f aca="false"> IF(280.4664567 + 360007.6982779*M182/10 + 0.03032028*M182^2/100 + M182^3/49931000&lt;0,MOD(280.4664567 + 360007.6982779*M182/10 + 0.03032028*M182^2/100 + M182^3/49931000+360,360),MOD(280.4664567 + 360007.6982779*M182/10 + 0.03032028*M182^2/100 + M182^3/49931000,360))</f>
        <v>211.894629498889</v>
      </c>
      <c r="AO182" s="27" t="n">
        <f aca="false"> AN182 + (1.9146 - 0.004817*M182 - 0.000014*M182^2)*SIN(R182)+ (0.019993 - 0.000101*M182)*SIN(2*R182)+ 0.00029*SIN(3*R182)</f>
        <v>210.068772183084</v>
      </c>
      <c r="AP182" s="18" t="n">
        <f aca="false">ACOS(COS(X182-$A$4*AO182)*COS(Y182))/$A$4</f>
        <v>24.5144329754334</v>
      </c>
      <c r="AQ182" s="25" t="n">
        <f aca="false">180 - AP182 -0.1468*(1-0.0549*SIN(R182))*SIN($A$4*AP182)/(1-0.0167*SIN($A$4*AO182))</f>
        <v>155.42201809228</v>
      </c>
      <c r="AR182" s="25" t="n">
        <f aca="false">SIN($A$4*AI182)</f>
        <v>0.427827827628116</v>
      </c>
      <c r="AS182" s="25" t="n">
        <f aca="false">COS($A$4*AI182)*SIN($A$4*$G$2) - TAN($A$4*AG182)*COS($A$4*$G$2)</f>
        <v>-0.364025409236535</v>
      </c>
      <c r="AT182" s="25" t="n">
        <f aca="false">IF(OR(AND(AR182*AS182&gt;0), AND(AR182&lt;0,AS182&gt;0)), MOD(ATAN2(AS182,AR182)/$A$4+360,360),  ATAN2(AS182,AR182)/$A$4)</f>
        <v>130.393427791041</v>
      </c>
      <c r="AU182" s="29" t="n">
        <f aca="false">(1+SIN($A$4*H182)*SIN($A$4*AJ182))*120*ASIN(0.272481*SIN($A$4*AJ182))/$A$4</f>
        <v>31.4488377319041</v>
      </c>
      <c r="AV182" s="10" t="n">
        <f aca="false">COS(X182)</f>
        <v>-0.994960901115181</v>
      </c>
      <c r="AW182" s="10" t="n">
        <f aca="false">SIN(X182)</f>
        <v>-0.100263678628245</v>
      </c>
      <c r="AX182" s="30" t="n">
        <f aca="false"> 385000.56 + (-20905355*COS(Q182) - 3699111*COS(2*S182-Q182) - 2955968*COS(2*S182) - 569925*COS(2*Q182) + (1-0.002516*M182)*48888*COS(R182) - 3149*COS(2*T182)  +246158*COS(2*S182-2*Q182) -(1-0.002516*M182)*152138*COS(2*S182-R182-Q182) -170733*COS(2*S182+Q182) -(1-0.002516*M182)*204586*COS(2*S182-R182) -(1-0.002516*M182)*129620*COS(R182-Q182)  + 108743*COS(S182) +(1-0.002516*M182)*104755*COS(R182+Q182) +10321*COS(2*S182-2*T182) +79661*COS(Q182-2*T182) -34782*COS(4*S182-Q182) -23210*COS(3*Q182)  -21636*COS(4*S182-2*Q182) +(1-0.002516*M182)*24208*COS(2*S182+R182-Q182) +(1-0.002516*M182)*30824*COS(2*S182+R182) -8379*COS(S182-Q182) -(1-0.002516*M182)*16675*COS(S182+R182)  -(1-0.002516*M182)*12831*COS(2*S182-R182+Q182) -10445*COS(2*S182+2*Q182) -11650*COS(4*S182) +14403*COS(2*S182-3*Q182) -(1-0.002516*M182)*7003*COS(R182-2*Q182)  + (1-0.002516*M182)*10056*COS(2*S182-R182-2*Q182) +6322*COS(S182+Q182) -(1-0.002516*M182)*(1-0.002516*M182)*9884*COS(2*S182-2*R182) +(1-0.002516*M182)*5751*COS(R182+2*Q182) -(1-0.002516*M182)*(1-0.002516*M182)*4950*COS(2*S182-2*R182-Q182)  +4130*COS(2*S182+Q182-2*T182) -(1-0.002516*M182)*3958*COS(4*S182-R182-Q182) +3258*COS(3*S182-Q182) +(1-0.002516*M182)*2616*COS(2*S182+R182+Q182) -(1-0.002516*M182)*1897*COS(4*S182-R182-2*Q182)  -(1-0.002516*M182)*(1-0.002516*M182)*2117*COS(2*R182-Q182) +(1-0.002516*M182)*(1-0.002516*M182)*2354*COS(2*S182+2*R182-Q182) -1423*COS(4*S182+Q182) -1117*COS(4*Q182) -(1-0.002516*M182)*1571*COS(4*S182-R182)  -1739*COS(S182-2*Q182) -4421*COS(2*Q182-2*T182) +(1-0.002516*M182)*(1-0.002516*M182)*1165*COS(2*R182+Q182) +8752*COS(2*S182-Q182-2*T182))/1000</f>
        <v>385017.432561522</v>
      </c>
      <c r="AY182" s="10" t="n">
        <f aca="false">AY181+1/8</f>
        <v>23.5</v>
      </c>
      <c r="AZ182" s="17" t="n">
        <f aca="false">AZ181+1</f>
        <v>181</v>
      </c>
      <c r="BA182" s="32" t="n">
        <f aca="false">ATAN(0.99664719*TAN($A$4*input!$E$2))</f>
        <v>-0.400219206115995</v>
      </c>
      <c r="BB182" s="32" t="n">
        <f aca="false">COS(BA182)</f>
        <v>0.920975608992155</v>
      </c>
      <c r="BC182" s="32" t="n">
        <f aca="false">0.99664719*SIN(BA182)</f>
        <v>-0.388313912533463</v>
      </c>
      <c r="BD182" s="32" t="n">
        <f aca="false">6378.14/AX182</f>
        <v>0.0165658473112924</v>
      </c>
      <c r="BE182" s="33" t="n">
        <f aca="false">MOD(N182-15*AH182,360)</f>
        <v>25.3297874102421</v>
      </c>
      <c r="BF182" s="27" t="n">
        <f aca="false">COS($A$4*AG182)*SIN($A$4*BE182)</f>
        <v>0.427798061171748</v>
      </c>
      <c r="BG182" s="27" t="n">
        <f aca="false">COS($A$4*AG182)*COS($A$4*BE182)-BB182*BD182</f>
        <v>0.888540621001036</v>
      </c>
      <c r="BH182" s="27" t="n">
        <f aca="false">SIN($A$4*AG182)-BC182*BD182</f>
        <v>0.0182287960540698</v>
      </c>
      <c r="BI182" s="46" t="n">
        <f aca="false">SQRT(BF182^2+BG182^2+BH182^2)</f>
        <v>0.986330525390345</v>
      </c>
      <c r="BJ182" s="35" t="n">
        <f aca="false">AX182*BI182</f>
        <v>379754.446542847</v>
      </c>
    </row>
    <row r="183" customFormat="false" ht="15" hidden="false" customHeight="false" outlineLevel="0" collapsed="false">
      <c r="A183" s="20"/>
      <c r="B183" s="20"/>
      <c r="C183" s="15" t="n">
        <f aca="false">MOD(C182+3,24)</f>
        <v>15</v>
      </c>
      <c r="D183" s="17" t="n">
        <v>23</v>
      </c>
      <c r="E183" s="102" t="n">
        <f aca="false">input!$C$2</f>
        <v>10</v>
      </c>
      <c r="F183" s="102" t="n">
        <f aca="false">input!$D$2</f>
        <v>2022</v>
      </c>
      <c r="H183" s="39" t="n">
        <f aca="false">AM183</f>
        <v>18.4059926892469</v>
      </c>
      <c r="I183" s="48" t="n">
        <f aca="false">H183+1.02/(TAN($A$4*(H183+10.3/(H183+5.11)))*60)</f>
        <v>18.4558044609337</v>
      </c>
      <c r="J183" s="39" t="n">
        <f aca="false">100*(1+COS($A$4*AQ183))/2</f>
        <v>3.99318633625421</v>
      </c>
      <c r="K183" s="48" t="n">
        <f aca="false">IF(AI183&gt;180,AT183-180,AT183+180)</f>
        <v>278.452419077074</v>
      </c>
      <c r="L183" s="10" t="n">
        <f aca="false">L182+1/8</f>
        <v>2459876.125</v>
      </c>
      <c r="M183" s="49" t="n">
        <f aca="false">(L183-2451545)/36525</f>
        <v>0.228093771389459</v>
      </c>
      <c r="N183" s="15" t="n">
        <f aca="false">MOD(280.46061837+360.98564736629*(L183-2451545)+0.000387933*M183^2-M183^3/38710000+$G$4,360)</f>
        <v>257.0120530352</v>
      </c>
      <c r="O183" s="18" t="n">
        <f aca="false">0.60643382+1336.85522467*M183 - 0.00000313*M183^2 - INT(0.60643382+1336.85522467*M183 - 0.00000313*M183^2)</f>
        <v>0.53478365383944</v>
      </c>
      <c r="P183" s="15" t="n">
        <f aca="false">22640*SIN(Q183)-4586*SIN(Q183-2*S183)+2370*SIN(2*S183)+769*SIN(2*Q183)-668*SIN(R183)-412*SIN(2*T183)-212*SIN(2*Q183-2*S183)-206*SIN(Q183+R183-2*S183)+192*SIN(Q183+2*S183)-165*SIN(R183-2*S183)-125*SIN(S183)-110*SIN(Q183+R183)+148*SIN(Q183-R183)-55*SIN(2*T183-2*S183)</f>
        <v>-18446.0210746445</v>
      </c>
      <c r="Q183" s="18" t="n">
        <f aca="false">2*PI()*(0.374897+1325.55241*M183 - INT(0.374897+1325.55241*M183))</f>
        <v>4.55622274243833</v>
      </c>
      <c r="R183" s="26" t="n">
        <f aca="false">2*PI()*(0.99312619+99.99735956*M183 - 0.00000044*M183^2 - INT(0.99312619+99.99735956*M183- 0.00000044*M183^2))</f>
        <v>5.03849282063084</v>
      </c>
      <c r="S183" s="26" t="n">
        <f aca="false">2*PI()*(0.827361+1236.853086*M183 - INT(0.827361+1236.853086*M183))</f>
        <v>5.94292594409134</v>
      </c>
      <c r="T183" s="26" t="n">
        <f aca="false">2*PI()*(0.259086+1342.227825*M183 - INT(0.259086+1342.227825*M183))</f>
        <v>2.59428114578114</v>
      </c>
      <c r="U183" s="26" t="n">
        <f aca="false">T183+(P183+412*SIN(2*T183)+541*SIN(R183))/206264.8062</f>
        <v>2.50059247078544</v>
      </c>
      <c r="V183" s="26" t="n">
        <f aca="false">T183-2*S183</f>
        <v>-9.29157074240155</v>
      </c>
      <c r="W183" s="25" t="n">
        <f aca="false">-526*SIN(V183)+44*SIN(Q183+V183)-31*SIN(-Q183+V183)-23*SIN(R183+V183)+11*SIN(-R183+V183)-25*SIN(-2*Q183+T183)+21*SIN(-Q183+T183)</f>
        <v>98.5538897298732</v>
      </c>
      <c r="X183" s="26" t="n">
        <f aca="false">2*PI()*(O183+P183/1296000-INT(O183+P183/1296000))</f>
        <v>3.27071596253356</v>
      </c>
      <c r="Y183" s="26" t="n">
        <f aca="false">(18520*SIN(U183)+W183)/206264.8062</f>
        <v>0.054170489207739</v>
      </c>
      <c r="Z183" s="26" t="n">
        <f aca="false">Y183*180/PI()</f>
        <v>3.10374040576242</v>
      </c>
      <c r="AA183" s="26" t="n">
        <f aca="false">COS(Y183)*COS(X183)</f>
        <v>-0.990220510937262</v>
      </c>
      <c r="AB183" s="26" t="n">
        <f aca="false">COS(Y183)*SIN(X183)</f>
        <v>-0.128575919253037</v>
      </c>
      <c r="AC183" s="26" t="n">
        <f aca="false">SIN(Y183)</f>
        <v>0.0541439997357404</v>
      </c>
      <c r="AD183" s="26" t="n">
        <f aca="false">COS($A$4*(23.4393-46.815*M183/3600))*AB183-SIN($A$4*(23.4393-46.815*M183/3600))*AC183</f>
        <v>-0.139503421359741</v>
      </c>
      <c r="AE183" s="26" t="n">
        <f aca="false">SIN($A$4*(23.4393-46.815*M183/3600))*AB183+COS($A$4*(23.4393-46.815*M183/3600))*AC183</f>
        <v>-0.00146121458858264</v>
      </c>
      <c r="AF183" s="26" t="n">
        <f aca="false">SQRT(1-AE183*AE183)</f>
        <v>0.999998932425393</v>
      </c>
      <c r="AG183" s="10" t="n">
        <f aca="false">ATAN(AE183/AF183)/$A$4</f>
        <v>-0.0837214586817003</v>
      </c>
      <c r="AH183" s="26" t="n">
        <f aca="false">IF(24*ATAN(AD183/(AA183+AF183))/PI()&gt;0,24*ATAN(AD183/(AA183+AF183))/PI(),24*ATAN(AD183/(AA183+AF183))/PI()+24)</f>
        <v>12.5346080684526</v>
      </c>
      <c r="AI183" s="10" t="n">
        <f aca="false">IF(N183-15*AH183&gt;0,N183-15*AH183,360+N183-15*AH183)</f>
        <v>68.992932008411</v>
      </c>
      <c r="AJ183" s="18" t="n">
        <f aca="false">0.950724+0.051818*COS(Q183)+0.009531*COS(2*S183-Q183)+0.007843*COS(2*S183)+0.002824*COS(2*Q183)+0.000857*COS(2*S183+Q183)+0.000533*COS(2*S183-R183)+0.000401*COS(2*S183-R183-Q183)+0.00032*COS(Q183-R183)-0.000271*COS(S183)</f>
        <v>0.950422585606095</v>
      </c>
      <c r="AK183" s="50" t="n">
        <f aca="false">ASIN(COS($A$4*$G$2)*COS($A$4*AG183)*COS($A$4*AI183)+SIN($A$4*$G$2)*SIN($A$4*AG183))/$A$4</f>
        <v>19.3025280286991</v>
      </c>
      <c r="AL183" s="18" t="n">
        <f aca="false">ASIN((0.9983271+0.0016764*COS($A$4*2*$G$2))*COS($A$4*AK183)*SIN($A$4*AJ183))/$A$4</f>
        <v>0.896535339452164</v>
      </c>
      <c r="AM183" s="18" t="n">
        <f aca="false">AK183-AL183</f>
        <v>18.4059926892469</v>
      </c>
      <c r="AN183" s="10" t="n">
        <f aca="false"> IF(280.4664567 + 360007.6982779*M183/10 + 0.03032028*M183^2/100 + M183^3/49931000&lt;0,MOD(280.4664567 + 360007.6982779*M183/10 + 0.03032028*M183^2/100 + M183^3/49931000+360,360),MOD(280.4664567 + 360007.6982779*M183/10 + 0.03032028*M183^2/100 + M183^3/49931000,360))</f>
        <v>212.017835419376</v>
      </c>
      <c r="AO183" s="27" t="n">
        <f aca="false"> AN183 + (1.9146 - 0.004817*M183 - 0.000014*M183^2)*SIN(R183)+ (0.019993 - 0.000101*M183)*SIN(2*R183)+ 0.00029*SIN(3*R183)</f>
        <v>210.193222112618</v>
      </c>
      <c r="AP183" s="18" t="n">
        <f aca="false">ACOS(COS(X183-$A$4*AO183)*COS(Y183))/$A$4</f>
        <v>22.9941622549819</v>
      </c>
      <c r="AQ183" s="25" t="n">
        <f aca="false">180 - AP183 -0.1468*(1-0.0549*SIN(R183))*SIN($A$4*AP183)/(1-0.0167*SIN($A$4*AO183))</f>
        <v>156.946012291225</v>
      </c>
      <c r="AR183" s="25" t="n">
        <f aca="false">SIN($A$4*AI183)</f>
        <v>0.933536211222269</v>
      </c>
      <c r="AS183" s="25" t="n">
        <f aca="false">COS($A$4*AI183)*SIN($A$4*$G$2) - TAN($A$4*AG183)*COS($A$4*$G$2)</f>
        <v>-0.138725454746841</v>
      </c>
      <c r="AT183" s="25" t="n">
        <f aca="false">IF(OR(AND(AR183*AS183&gt;0), AND(AR183&lt;0,AS183&gt;0)), MOD(ATAN2(AS183,AR183)/$A$4+360,360),  ATAN2(AS183,AR183)/$A$4)</f>
        <v>98.4524190770738</v>
      </c>
      <c r="AU183" s="29" t="n">
        <f aca="false">(1+SIN($A$4*H183)*SIN($A$4*AJ183))*120*ASIN(0.272481*SIN($A$4*AJ183))/$A$4</f>
        <v>31.2380859594622</v>
      </c>
      <c r="AV183" s="10" t="n">
        <f aca="false">COS(X183)</f>
        <v>-0.991675161742778</v>
      </c>
      <c r="AW183" s="10" t="n">
        <f aca="false">SIN(X183)</f>
        <v>-0.12876479946956</v>
      </c>
      <c r="AX183" s="30" t="n">
        <f aca="false"> 385000.56 + (-20905355*COS(Q183) - 3699111*COS(2*S183-Q183) - 2955968*COS(2*S183) - 569925*COS(2*Q183) + (1-0.002516*M183)*48888*COS(R183) - 3149*COS(2*T183)  +246158*COS(2*S183-2*Q183) -(1-0.002516*M183)*152138*COS(2*S183-R183-Q183) -170733*COS(2*S183+Q183) -(1-0.002516*M183)*204586*COS(2*S183-R183) -(1-0.002516*M183)*129620*COS(R183-Q183)  + 108743*COS(S183) +(1-0.002516*M183)*104755*COS(R183+Q183) +10321*COS(2*S183-2*T183) +79661*COS(Q183-2*T183) -34782*COS(4*S183-Q183) -23210*COS(3*Q183)  -21636*COS(4*S183-2*Q183) +(1-0.002516*M183)*24208*COS(2*S183+R183-Q183) +(1-0.002516*M183)*30824*COS(2*S183+R183) -8379*COS(S183-Q183) -(1-0.002516*M183)*16675*COS(S183+R183)  -(1-0.002516*M183)*12831*COS(2*S183-R183+Q183) -10445*COS(2*S183+2*Q183) -11650*COS(4*S183) +14403*COS(2*S183-3*Q183) -(1-0.002516*M183)*7003*COS(R183-2*Q183)  + (1-0.002516*M183)*10056*COS(2*S183-R183-2*Q183) +6322*COS(S183+Q183) -(1-0.002516*M183)*(1-0.002516*M183)*9884*COS(2*S183-2*R183) +(1-0.002516*M183)*5751*COS(R183+2*Q183) -(1-0.002516*M183)*(1-0.002516*M183)*4950*COS(2*S183-2*R183-Q183)  +4130*COS(2*S183+Q183-2*T183) -(1-0.002516*M183)*3958*COS(4*S183-R183-Q183) +3258*COS(3*S183-Q183) +(1-0.002516*M183)*2616*COS(2*S183+R183+Q183) -(1-0.002516*M183)*1897*COS(4*S183-R183-2*Q183)  -(1-0.002516*M183)*(1-0.002516*M183)*2117*COS(2*R183-Q183) +(1-0.002516*M183)*(1-0.002516*M183)*2354*COS(2*S183+2*R183-Q183) -1423*COS(4*S183+Q183) -1117*COS(4*Q183) -(1-0.002516*M183)*1571*COS(4*S183-R183)  -1739*COS(S183-2*Q183) -4421*COS(2*Q183-2*T183) +(1-0.002516*M183)*(1-0.002516*M183)*1165*COS(2*R183+Q183) +8752*COS(2*S183-Q183-2*T183))/1000</f>
        <v>384418.819350431</v>
      </c>
      <c r="AY183" s="10" t="n">
        <f aca="false">AY182+1/8</f>
        <v>23.625</v>
      </c>
      <c r="AZ183" s="17" t="n">
        <f aca="false">AZ182+1</f>
        <v>182</v>
      </c>
      <c r="BA183" s="32" t="n">
        <f aca="false">ATAN(0.99664719*TAN($A$4*input!$E$2))</f>
        <v>-0.400219206115995</v>
      </c>
      <c r="BB183" s="32" t="n">
        <f aca="false">COS(BA183)</f>
        <v>0.920975608992155</v>
      </c>
      <c r="BC183" s="32" t="n">
        <f aca="false">0.99664719*SIN(BA183)</f>
        <v>-0.388313912533463</v>
      </c>
      <c r="BD183" s="32" t="n">
        <f aca="false">6378.14/AX183</f>
        <v>0.0165916434860744</v>
      </c>
      <c r="BE183" s="33" t="n">
        <f aca="false">MOD(N183-15*AH183,360)</f>
        <v>68.992932008411</v>
      </c>
      <c r="BF183" s="27" t="n">
        <f aca="false">COS($A$4*AG183)*SIN($A$4*BE183)</f>
        <v>0.933535214602715</v>
      </c>
      <c r="BG183" s="27" t="n">
        <f aca="false">COS($A$4*AG183)*COS($A$4*BE183)-BB183*BD183</f>
        <v>0.343202231371445</v>
      </c>
      <c r="BH183" s="27" t="n">
        <f aca="false">SIN($A$4*AG183)-BC183*BD183</f>
        <v>0.00498155140885526</v>
      </c>
      <c r="BI183" s="46" t="n">
        <f aca="false">SQRT(BF183^2+BG183^2+BH183^2)</f>
        <v>0.994635905432795</v>
      </c>
      <c r="BJ183" s="35" t="n">
        <f aca="false">AX183*BI183</f>
        <v>382356.760450022</v>
      </c>
    </row>
    <row r="184" customFormat="false" ht="15" hidden="false" customHeight="false" outlineLevel="0" collapsed="false">
      <c r="A184" s="20"/>
      <c r="B184" s="20"/>
      <c r="C184" s="15" t="n">
        <f aca="false">MOD(C183+3,24)</f>
        <v>18</v>
      </c>
      <c r="D184" s="17" t="n">
        <v>23</v>
      </c>
      <c r="E184" s="102" t="n">
        <f aca="false">input!$C$2</f>
        <v>10</v>
      </c>
      <c r="F184" s="102" t="n">
        <f aca="false">input!$D$2</f>
        <v>2022</v>
      </c>
      <c r="H184" s="39" t="n">
        <f aca="false">AM184</f>
        <v>-21.2993550080917</v>
      </c>
      <c r="I184" s="48" t="n">
        <f aca="false">H184+1.02/(TAN($A$4*(H184+10.3/(H184+5.11)))*60)</f>
        <v>-21.3415680802247</v>
      </c>
      <c r="J184" s="39" t="n">
        <f aca="false">100*(1+COS($A$4*AQ184))/2</f>
        <v>3.48699915591304</v>
      </c>
      <c r="K184" s="48" t="n">
        <f aca="false">IF(AI184&gt;180,AT184-180,AT184+180)</f>
        <v>259.919226509286</v>
      </c>
      <c r="L184" s="10" t="n">
        <f aca="false">L183+1/8</f>
        <v>2459876.25</v>
      </c>
      <c r="M184" s="49" t="n">
        <f aca="false">(L184-2451545)/36525</f>
        <v>0.228097193702943</v>
      </c>
      <c r="N184" s="15" t="n">
        <f aca="false">MOD(280.46061837+360.98564736629*(L184-2451545)+0.000387933*M184^2-M184^3/38710000+$G$4,360)</f>
        <v>302.135258956812</v>
      </c>
      <c r="O184" s="18" t="n">
        <f aca="false">0.60643382+1336.85522467*M184 - 0.00000313*M184^2 - INT(0.60643382+1336.85522467*M184 - 0.00000313*M184^2)</f>
        <v>0.539358791495999</v>
      </c>
      <c r="P184" s="15" t="n">
        <f aca="false">22640*SIN(Q184)-4586*SIN(Q184-2*S184)+2370*SIN(2*S184)+769*SIN(2*Q184)-668*SIN(R184)-412*SIN(2*T184)-212*SIN(2*Q184-2*S184)-206*SIN(Q184+R184-2*S184)+192*SIN(Q184+2*S184)-165*SIN(R184-2*S184)-125*SIN(S184)-110*SIN(Q184+R184)+148*SIN(Q184-R184)-55*SIN(2*T184-2*S184)</f>
        <v>-18438.9557591658</v>
      </c>
      <c r="Q184" s="18" t="n">
        <f aca="false">2*PI()*(0.374897+1325.55241*M184 - INT(0.374897+1325.55241*M184))</f>
        <v>4.58472613541013</v>
      </c>
      <c r="R184" s="26" t="n">
        <f aca="false">2*PI()*(0.99312619+99.99735956*M184 - 0.00000044*M184^2 - INT(0.99312619+99.99735956*M184- 0.00000044*M184^2))</f>
        <v>5.04064306682892</v>
      </c>
      <c r="S184" s="26" t="n">
        <f aca="false">2*PI()*(0.827361+1236.853086*M184 - INT(0.827361+1236.853086*M184))</f>
        <v>5.96952203285627</v>
      </c>
      <c r="T184" s="26" t="n">
        <f aca="false">2*PI()*(0.259086+1342.227825*M184 - INT(0.259086+1342.227825*M184))</f>
        <v>2.62314311069854</v>
      </c>
      <c r="U184" s="26" t="n">
        <f aca="false">T184+(P184+412*SIN(2*T184)+541*SIN(R184))/206264.8062</f>
        <v>2.52954628042471</v>
      </c>
      <c r="V184" s="26" t="n">
        <f aca="false">T184-2*S184</f>
        <v>-9.315900955014</v>
      </c>
      <c r="W184" s="25" t="n">
        <f aca="false">-526*SIN(V184)+44*SIN(Q184+V184)-31*SIN(-Q184+V184)-23*SIN(R184+V184)+11*SIN(-R184+V184)-25*SIN(-2*Q184+T184)+21*SIN(-Q184+T184)</f>
        <v>86.7972325355999</v>
      </c>
      <c r="X184" s="26" t="n">
        <f aca="false">2*PI()*(O184+P184/1296000-INT(O184+P184/1296000))</f>
        <v>3.29949665385163</v>
      </c>
      <c r="Y184" s="26" t="n">
        <f aca="false">(18520*SIN(U184)+W184)/206264.8062</f>
        <v>0.0520076316307349</v>
      </c>
      <c r="Z184" s="26" t="n">
        <f aca="false">Y184*180/PI()</f>
        <v>2.97981779491219</v>
      </c>
      <c r="AA184" s="26" t="n">
        <f aca="false">COS(Y184)*COS(X184)</f>
        <v>-0.986223774744552</v>
      </c>
      <c r="AB184" s="26" t="n">
        <f aca="false">COS(Y184)*SIN(X184)</f>
        <v>-0.157036015416456</v>
      </c>
      <c r="AC184" s="26" t="n">
        <f aca="false">SIN(Y184)</f>
        <v>0.0519841898150775</v>
      </c>
      <c r="AD184" s="26" t="n">
        <f aca="false">COS($A$4*(23.4393-46.815*M184/3600))*AB184-SIN($A$4*(23.4393-46.815*M184/3600))*AC184</f>
        <v>-0.164756612596593</v>
      </c>
      <c r="AE184" s="26" t="n">
        <f aca="false">SIN($A$4*(23.4393-46.815*M184/3600))*AB184+COS($A$4*(23.4393-46.815*M184/3600))*AC184</f>
        <v>-0.0147622740221099</v>
      </c>
      <c r="AF184" s="26" t="n">
        <f aca="false">SQRT(1-AE184*AE184)</f>
        <v>0.999891031695802</v>
      </c>
      <c r="AG184" s="10" t="n">
        <f aca="false">ATAN(AE184/AF184)/$A$4</f>
        <v>-0.845846721199984</v>
      </c>
      <c r="AH184" s="26" t="n">
        <f aca="false">IF(24*ATAN(AD184/(AA184+AF184))/PI()&gt;0,24*ATAN(AD184/(AA184+AF184))/PI(),24*ATAN(AD184/(AA184+AF184))/PI()+24)</f>
        <v>12.6322759272264</v>
      </c>
      <c r="AI184" s="10" t="n">
        <f aca="false">IF(N184-15*AH184&gt;0,N184-15*AH184,360+N184-15*AH184)</f>
        <v>112.651120048416</v>
      </c>
      <c r="AJ184" s="18" t="n">
        <f aca="false">0.950724+0.051818*COS(Q184)+0.009531*COS(2*S184-Q184)+0.007843*COS(2*S184)+0.002824*COS(2*Q184)+0.000857*COS(2*S184+Q184)+0.000533*COS(2*S184-R184)+0.000401*COS(2*S184-R184-Q184)+0.00032*COS(Q184-R184)-0.000271*COS(S184)</f>
        <v>0.951916837950982</v>
      </c>
      <c r="AK184" s="50" t="n">
        <f aca="false">ASIN(COS($A$4*$G$2)*COS($A$4*AG184)*COS($A$4*AI184)+SIN($A$4*$G$2)*SIN($A$4*AG184))/$A$4</f>
        <v>-20.4076433544309</v>
      </c>
      <c r="AL184" s="18" t="n">
        <f aca="false">ASIN((0.9983271+0.0016764*COS($A$4*2*$G$2))*COS($A$4*AK184)*SIN($A$4*AJ184))/$A$4</f>
        <v>0.891711653660786</v>
      </c>
      <c r="AM184" s="18" t="n">
        <f aca="false">AK184-AL184</f>
        <v>-21.2993550080917</v>
      </c>
      <c r="AN184" s="10" t="n">
        <f aca="false"> IF(280.4664567 + 360007.6982779*M184/10 + 0.03032028*M184^2/100 + M184^3/49931000&lt;0,MOD(280.4664567 + 360007.6982779*M184/10 + 0.03032028*M184^2/100 + M184^3/49931000+360,360),MOD(280.4664567 + 360007.6982779*M184/10 + 0.03032028*M184^2/100 + M184^3/49931000,360))</f>
        <v>212.141041339861</v>
      </c>
      <c r="AO184" s="27" t="n">
        <f aca="false"> AN184 + (1.9146 - 0.004817*M184 - 0.000014*M184^2)*SIN(R184)+ (0.019993 - 0.000101*M184)*SIN(2*R184)+ 0.00029*SIN(3*R184)</f>
        <v>210.317680640464</v>
      </c>
      <c r="AP184" s="18" t="n">
        <f aca="false">ACOS(COS(X184-$A$4*AO184)*COS(Y184))/$A$4</f>
        <v>21.4685697038261</v>
      </c>
      <c r="AQ184" s="25" t="n">
        <f aca="false">180 - AP184 -0.1468*(1-0.0549*SIN(R184))*SIN($A$4*AP184)/(1-0.0167*SIN($A$4*AO184))</f>
        <v>158.475383184413</v>
      </c>
      <c r="AR184" s="25" t="n">
        <f aca="false">SIN($A$4*AI184)</f>
        <v>0.922866976356691</v>
      </c>
      <c r="AS184" s="25" t="n">
        <f aca="false">COS($A$4*AI184)*SIN($A$4*$G$2) - TAN($A$4*AG184)*COS($A$4*$G$2)</f>
        <v>0.164068156426329</v>
      </c>
      <c r="AT184" s="25" t="n">
        <f aca="false">IF(OR(AND(AR184*AS184&gt;0), AND(AR184&lt;0,AS184&gt;0)), MOD(ATAN2(AS184,AR184)/$A$4+360,360),  ATAN2(AS184,AR184)/$A$4)</f>
        <v>79.9192265092856</v>
      </c>
      <c r="AU184" s="29" t="n">
        <f aca="false">(1+SIN($A$4*H184)*SIN($A$4*AJ184))*120*ASIN(0.272481*SIN($A$4*AJ184))/$A$4</f>
        <v>30.9363615635752</v>
      </c>
      <c r="AV184" s="10" t="n">
        <f aca="false">COS(X184)</f>
        <v>-0.987559045500457</v>
      </c>
      <c r="AW184" s="10" t="n">
        <f aca="false">SIN(X184)</f>
        <v>-0.157248630042446</v>
      </c>
      <c r="AX184" s="30" t="n">
        <f aca="false"> 385000.56 + (-20905355*COS(Q184) - 3699111*COS(2*S184-Q184) - 2955968*COS(2*S184) - 569925*COS(2*Q184) + (1-0.002516*M184)*48888*COS(R184) - 3149*COS(2*T184)  +246158*COS(2*S184-2*Q184) -(1-0.002516*M184)*152138*COS(2*S184-R184-Q184) -170733*COS(2*S184+Q184) -(1-0.002516*M184)*204586*COS(2*S184-R184) -(1-0.002516*M184)*129620*COS(R184-Q184)  + 108743*COS(S184) +(1-0.002516*M184)*104755*COS(R184+Q184) +10321*COS(2*S184-2*T184) +79661*COS(Q184-2*T184) -34782*COS(4*S184-Q184) -23210*COS(3*Q184)  -21636*COS(4*S184-2*Q184) +(1-0.002516*M184)*24208*COS(2*S184+R184-Q184) +(1-0.002516*M184)*30824*COS(2*S184+R184) -8379*COS(S184-Q184) -(1-0.002516*M184)*16675*COS(S184+R184)  -(1-0.002516*M184)*12831*COS(2*S184-R184+Q184) -10445*COS(2*S184+2*Q184) -11650*COS(4*S184) +14403*COS(2*S184-3*Q184) -(1-0.002516*M184)*7003*COS(R184-2*Q184)  + (1-0.002516*M184)*10056*COS(2*S184-R184-2*Q184) +6322*COS(S184+Q184) -(1-0.002516*M184)*(1-0.002516*M184)*9884*COS(2*S184-2*R184) +(1-0.002516*M184)*5751*COS(R184+2*Q184) -(1-0.002516*M184)*(1-0.002516*M184)*4950*COS(2*S184-2*R184-Q184)  +4130*COS(2*S184+Q184-2*T184) -(1-0.002516*M184)*3958*COS(4*S184-R184-Q184) +3258*COS(3*S184-Q184) +(1-0.002516*M184)*2616*COS(2*S184+R184+Q184) -(1-0.002516*M184)*1897*COS(4*S184-R184-2*Q184)  -(1-0.002516*M184)*(1-0.002516*M184)*2117*COS(2*R184-Q184) +(1-0.002516*M184)*(1-0.002516*M184)*2354*COS(2*S184+2*R184-Q184) -1423*COS(4*S184+Q184) -1117*COS(4*Q184) -(1-0.002516*M184)*1571*COS(4*S184-R184)  -1739*COS(S184-2*Q184) -4421*COS(2*Q184-2*T184) +(1-0.002516*M184)*(1-0.002516*M184)*1165*COS(2*R184+Q184) +8752*COS(2*S184-Q184-2*T184))/1000</f>
        <v>383823.298603614</v>
      </c>
      <c r="AY184" s="10" t="n">
        <f aca="false">AY183+1/8</f>
        <v>23.75</v>
      </c>
      <c r="AZ184" s="17" t="n">
        <f aca="false">AZ183+1</f>
        <v>183</v>
      </c>
      <c r="BA184" s="32" t="n">
        <f aca="false">ATAN(0.99664719*TAN($A$4*input!$E$2))</f>
        <v>-0.400219206115995</v>
      </c>
      <c r="BB184" s="32" t="n">
        <f aca="false">COS(BA184)</f>
        <v>0.920975608992155</v>
      </c>
      <c r="BC184" s="32" t="n">
        <f aca="false">0.99664719*SIN(BA184)</f>
        <v>-0.388313912533463</v>
      </c>
      <c r="BD184" s="32" t="n">
        <f aca="false">6378.14/AX184</f>
        <v>0.0166173862378972</v>
      </c>
      <c r="BE184" s="33" t="n">
        <f aca="false">MOD(N184-15*AH184,360)</f>
        <v>112.651120048416</v>
      </c>
      <c r="BF184" s="27" t="n">
        <f aca="false">COS($A$4*AG184)*SIN($A$4*BE184)</f>
        <v>0.922766413107277</v>
      </c>
      <c r="BG184" s="27" t="n">
        <f aca="false">COS($A$4*AG184)*COS($A$4*BE184)-BB184*BD184</f>
        <v>-0.400381111556512</v>
      </c>
      <c r="BH184" s="27" t="n">
        <f aca="false">SIN($A$4*AG184)-BC184*BD184</f>
        <v>-0.00830951175599231</v>
      </c>
      <c r="BI184" s="46" t="n">
        <f aca="false">SQRT(BF184^2+BG184^2+BH184^2)</f>
        <v>1.00591845377034</v>
      </c>
      <c r="BJ184" s="35" t="n">
        <f aca="false">AX184*BI184</f>
        <v>386094.93905238</v>
      </c>
    </row>
    <row r="185" customFormat="false" ht="15" hidden="false" customHeight="false" outlineLevel="0" collapsed="false">
      <c r="A185" s="20"/>
      <c r="B185" s="20"/>
      <c r="C185" s="15" t="n">
        <f aca="false">MOD(C184+3,24)</f>
        <v>21</v>
      </c>
      <c r="D185" s="17" t="n">
        <v>23</v>
      </c>
      <c r="E185" s="102" t="n">
        <f aca="false">input!$C$2</f>
        <v>10</v>
      </c>
      <c r="F185" s="102" t="n">
        <f aca="false">input!$D$2</f>
        <v>2022</v>
      </c>
      <c r="H185" s="39" t="n">
        <f aca="false">AM185</f>
        <v>-56.7912296299811</v>
      </c>
      <c r="I185" s="48" t="n">
        <f aca="false">H185+1.02/(TAN($A$4*(H185+10.3/(H185+5.11)))*60)</f>
        <v>-56.8022735549997</v>
      </c>
      <c r="J185" s="39" t="n">
        <f aca="false">100*(1+COS($A$4*AQ185))/2</f>
        <v>3.01236390336946</v>
      </c>
      <c r="K185" s="48" t="n">
        <f aca="false">IF(AI185&gt;180,AT185-180,AT185+180)</f>
        <v>226.329074163411</v>
      </c>
      <c r="L185" s="10" t="n">
        <f aca="false">L184+1/8</f>
        <v>2459876.375</v>
      </c>
      <c r="M185" s="49" t="n">
        <f aca="false">(L185-2451545)/36525</f>
        <v>0.228100616016427</v>
      </c>
      <c r="N185" s="15" t="n">
        <f aca="false">MOD(280.46061837+360.98564736629*(L185-2451545)+0.000387933*M185^2-M185^3/38710000+$G$4,360)</f>
        <v>347.258464877959</v>
      </c>
      <c r="O185" s="18" t="n">
        <f aca="false">0.60643382+1336.85522467*M185 - 0.00000313*M185^2 - INT(0.60643382+1336.85522467*M185 - 0.00000313*M185^2)</f>
        <v>0.543933929152558</v>
      </c>
      <c r="P185" s="15" t="n">
        <f aca="false">22640*SIN(Q185)-4586*SIN(Q185-2*S185)+2370*SIN(2*S185)+769*SIN(2*Q185)-668*SIN(R185)-412*SIN(2*T185)-212*SIN(2*Q185-2*S185)-206*SIN(Q185+R185-2*S185)+192*SIN(Q185+2*S185)-165*SIN(R185-2*S185)-125*SIN(S185)-110*SIN(Q185+R185)+148*SIN(Q185-R185)-55*SIN(2*T185-2*S185)</f>
        <v>-18413.3778285559</v>
      </c>
      <c r="Q185" s="18" t="n">
        <f aca="false">2*PI()*(0.374897+1325.55241*M185 - INT(0.374897+1325.55241*M185))</f>
        <v>4.61322952838228</v>
      </c>
      <c r="R185" s="26" t="n">
        <f aca="false">2*PI()*(0.99312619+99.99735956*M185 - 0.00000044*M185^2 - INT(0.99312619+99.99735956*M185- 0.00000044*M185^2))</f>
        <v>5.04279331302705</v>
      </c>
      <c r="S185" s="26" t="n">
        <f aca="false">2*PI()*(0.827361+1236.853086*M185 - INT(0.827361+1236.853086*M185))</f>
        <v>5.99611812162119</v>
      </c>
      <c r="T185" s="26" t="n">
        <f aca="false">2*PI()*(0.259086+1342.227825*M185 - INT(0.259086+1342.227825*M185))</f>
        <v>2.6520050756163</v>
      </c>
      <c r="U185" s="26" t="n">
        <f aca="false">T185+(P185+412*SIN(2*T185)+541*SIN(R185))/206264.8062</f>
        <v>2.55859558094214</v>
      </c>
      <c r="V185" s="26" t="n">
        <f aca="false">T185-2*S185</f>
        <v>-9.34023116762608</v>
      </c>
      <c r="W185" s="25" t="n">
        <f aca="false">-526*SIN(V185)+44*SIN(Q185+V185)-31*SIN(-Q185+V185)-23*SIN(R185+V185)+11*SIN(-R185+V185)-25*SIN(-2*Q185+T185)+21*SIN(-Q185+T185)</f>
        <v>74.9345033479523</v>
      </c>
      <c r="X185" s="26" t="n">
        <f aca="false">2*PI()*(O185+P185/1296000-INT(O185+P185/1296000))</f>
        <v>3.32836709686059</v>
      </c>
      <c r="Y185" s="26" t="n">
        <f aca="false">(18520*SIN(U185)+W185)/206264.8062</f>
        <v>0.0497938589991275</v>
      </c>
      <c r="Z185" s="26" t="n">
        <f aca="false">Y185*180/PI()</f>
        <v>2.85297796631952</v>
      </c>
      <c r="AA185" s="26" t="n">
        <f aca="false">COS(Y185)*COS(X185)</f>
        <v>-0.981390398865205</v>
      </c>
      <c r="AB185" s="26" t="n">
        <f aca="false">COS(Y185)*SIN(X185)</f>
        <v>-0.185460252162649</v>
      </c>
      <c r="AC185" s="26" t="n">
        <f aca="false">SIN(Y185)</f>
        <v>0.0497732848319267</v>
      </c>
      <c r="AD185" s="26" t="n">
        <f aca="false">COS($A$4*(23.4393-46.815*M185/3600))*AB185-SIN($A$4*(23.4393-46.815*M185/3600))*AC185</f>
        <v>-0.189956580716915</v>
      </c>
      <c r="AE185" s="26" t="n">
        <f aca="false">SIN($A$4*(23.4393-46.815*M185/3600))*AB185+COS($A$4*(23.4393-46.815*M185/3600))*AC185</f>
        <v>-0.0280959509099018</v>
      </c>
      <c r="AF185" s="26" t="n">
        <f aca="false">SQRT(1-AE185*AE185)</f>
        <v>0.999605230849893</v>
      </c>
      <c r="AG185" s="10" t="n">
        <f aca="false">ATAN(AE185/AF185)/$A$4</f>
        <v>-1.60999127241575</v>
      </c>
      <c r="AH185" s="26" t="n">
        <f aca="false">IF(24*ATAN(AD185/(AA185+AF185))/PI()&gt;0,24*ATAN(AD185/(AA185+AF185))/PI(),24*ATAN(AD185/(AA185+AF185))/PI()+24)</f>
        <v>12.7303085536556</v>
      </c>
      <c r="AI185" s="10" t="n">
        <f aca="false">IF(N185-15*AH185&gt;0,N185-15*AH185,360+N185-15*AH185)</f>
        <v>156.303836573125</v>
      </c>
      <c r="AJ185" s="18" t="n">
        <f aca="false">0.950724+0.051818*COS(Q185)+0.009531*COS(2*S185-Q185)+0.007843*COS(2*S185)+0.002824*COS(2*Q185)+0.000857*COS(2*S185+Q185)+0.000533*COS(2*S185-R185)+0.000401*COS(2*S185-R185-Q185)+0.00032*COS(Q185-R185)-0.000271*COS(S185)</f>
        <v>0.953407486581142</v>
      </c>
      <c r="AK185" s="50" t="n">
        <f aca="false">ASIN(COS($A$4*$G$2)*COS($A$4*AG185)*COS($A$4*AI185)+SIN($A$4*$G$2)*SIN($A$4*AG185))/$A$4</f>
        <v>-56.2619969003439</v>
      </c>
      <c r="AL185" s="18" t="n">
        <f aca="false">ASIN((0.9983271+0.0016764*COS($A$4*2*$G$2))*COS($A$4*AK185)*SIN($A$4*AJ185))/$A$4</f>
        <v>0.529232729637116</v>
      </c>
      <c r="AM185" s="18" t="n">
        <f aca="false">AK185-AL185</f>
        <v>-56.7912296299811</v>
      </c>
      <c r="AN185" s="10" t="n">
        <f aca="false"> IF(280.4664567 + 360007.6982779*M185/10 + 0.03032028*M185^2/100 + M185^3/49931000&lt;0,MOD(280.4664567 + 360007.6982779*M185/10 + 0.03032028*M185^2/100 + M185^3/49931000+360,360),MOD(280.4664567 + 360007.6982779*M185/10 + 0.03032028*M185^2/100 + M185^3/49931000,360))</f>
        <v>212.264247260349</v>
      </c>
      <c r="AO185" s="27" t="n">
        <f aca="false"> AN185 + (1.9146 - 0.004817*M185 - 0.000014*M185^2)*SIN(R185)+ (0.019993 - 0.000101*M185)*SIN(2*R185)+ 0.00029*SIN(3*R185)</f>
        <v>210.442147761839</v>
      </c>
      <c r="AP185" s="18" t="n">
        <f aca="false">ACOS(COS(X185-$A$4*AO185)*COS(Y185))/$A$4</f>
        <v>19.9377130146111</v>
      </c>
      <c r="AQ185" s="25" t="n">
        <f aca="false">180 - AP185 -0.1468*(1-0.0549*SIN(R185))*SIN($A$4*AP185)/(1-0.0167*SIN($A$4*AO185))</f>
        <v>160.010070675086</v>
      </c>
      <c r="AR185" s="25" t="n">
        <f aca="false">SIN($A$4*AI185)</f>
        <v>0.401886462224875</v>
      </c>
      <c r="AS185" s="25" t="n">
        <f aca="false">COS($A$4*AI185)*SIN($A$4*$G$2) - TAN($A$4*AG185)*COS($A$4*$G$2)</f>
        <v>0.38366106695065</v>
      </c>
      <c r="AT185" s="25" t="n">
        <f aca="false">IF(OR(AND(AR185*AS185&gt;0), AND(AR185&lt;0,AS185&gt;0)), MOD(ATAN2(AS185,AR185)/$A$4+360,360),  ATAN2(AS185,AR185)/$A$4)</f>
        <v>46.3290741634113</v>
      </c>
      <c r="AU185" s="29" t="n">
        <f aca="false">(1+SIN($A$4*H185)*SIN($A$4*AJ185))*120*ASIN(0.272481*SIN($A$4*AJ185))/$A$4</f>
        <v>30.7389359277545</v>
      </c>
      <c r="AV185" s="10" t="n">
        <f aca="false">COS(X185)</f>
        <v>-0.982608300652738</v>
      </c>
      <c r="AW185" s="10" t="n">
        <f aca="false">SIN(X185)</f>
        <v>-0.185690407636848</v>
      </c>
      <c r="AX185" s="30" t="n">
        <f aca="false"> 385000.56 + (-20905355*COS(Q185) - 3699111*COS(2*S185-Q185) - 2955968*COS(2*S185) - 569925*COS(2*Q185) + (1-0.002516*M185)*48888*COS(R185) - 3149*COS(2*T185)  +246158*COS(2*S185-2*Q185) -(1-0.002516*M185)*152138*COS(2*S185-R185-Q185) -170733*COS(2*S185+Q185) -(1-0.002516*M185)*204586*COS(2*S185-R185) -(1-0.002516*M185)*129620*COS(R185-Q185)  + 108743*COS(S185) +(1-0.002516*M185)*104755*COS(R185+Q185) +10321*COS(2*S185-2*T185) +79661*COS(Q185-2*T185) -34782*COS(4*S185-Q185) -23210*COS(3*Q185)  -21636*COS(4*S185-2*Q185) +(1-0.002516*M185)*24208*COS(2*S185+R185-Q185) +(1-0.002516*M185)*30824*COS(2*S185+R185) -8379*COS(S185-Q185) -(1-0.002516*M185)*16675*COS(S185+R185)  -(1-0.002516*M185)*12831*COS(2*S185-R185+Q185) -10445*COS(2*S185+2*Q185) -11650*COS(4*S185) +14403*COS(2*S185-3*Q185) -(1-0.002516*M185)*7003*COS(R185-2*Q185)  + (1-0.002516*M185)*10056*COS(2*S185-R185-2*Q185) +6322*COS(S185+Q185) -(1-0.002516*M185)*(1-0.002516*M185)*9884*COS(2*S185-2*R185) +(1-0.002516*M185)*5751*COS(R185+2*Q185) -(1-0.002516*M185)*(1-0.002516*M185)*4950*COS(2*S185-2*R185-Q185)  +4130*COS(2*S185+Q185-2*T185) -(1-0.002516*M185)*3958*COS(4*S185-R185-Q185) +3258*COS(3*S185-Q185) +(1-0.002516*M185)*2616*COS(2*S185+R185+Q185) -(1-0.002516*M185)*1897*COS(4*S185-R185-2*Q185)  -(1-0.002516*M185)*(1-0.002516*M185)*2117*COS(2*R185-Q185) +(1-0.002516*M185)*(1-0.002516*M185)*2354*COS(2*S185+2*R185-Q185) -1423*COS(4*S185+Q185) -1117*COS(4*Q185) -(1-0.002516*M185)*1571*COS(4*S185-R185)  -1739*COS(S185-2*Q185) -4421*COS(2*Q185-2*T185) +(1-0.002516*M185)*(1-0.002516*M185)*1165*COS(2*R185+Q185) +8752*COS(2*S185-Q185-2*T185))/1000</f>
        <v>383231.574725324</v>
      </c>
      <c r="AY185" s="10" t="n">
        <f aca="false">AY184+1/8</f>
        <v>23.875</v>
      </c>
      <c r="AZ185" s="17" t="n">
        <f aca="false">AZ184+1</f>
        <v>184</v>
      </c>
      <c r="BA185" s="32" t="n">
        <f aca="false">ATAN(0.99664719*TAN($A$4*input!$E$2))</f>
        <v>-0.400219206115995</v>
      </c>
      <c r="BB185" s="32" t="n">
        <f aca="false">COS(BA185)</f>
        <v>0.920975608992155</v>
      </c>
      <c r="BC185" s="32" t="n">
        <f aca="false">0.99664719*SIN(BA185)</f>
        <v>-0.388313912533463</v>
      </c>
      <c r="BD185" s="32" t="n">
        <f aca="false">6378.14/AX185</f>
        <v>0.0166430441034809</v>
      </c>
      <c r="BE185" s="33" t="n">
        <f aca="false">MOD(N185-15*AH185,360)</f>
        <v>156.303836573125</v>
      </c>
      <c r="BF185" s="27" t="n">
        <f aca="false">COS($A$4*AG185)*SIN($A$4*BE185)</f>
        <v>0.401727809847743</v>
      </c>
      <c r="BG185" s="27" t="n">
        <f aca="false">COS($A$4*AG185)*COS($A$4*BE185)-BB185*BD185</f>
        <v>-0.930655857755317</v>
      </c>
      <c r="BH185" s="27" t="n">
        <f aca="false">SIN($A$4*AG185)-BC185*BD185</f>
        <v>-0.0216332253376122</v>
      </c>
      <c r="BI185" s="46" t="n">
        <f aca="false">SQRT(BF185^2+BG185^2+BH185^2)</f>
        <v>1.01389030729061</v>
      </c>
      <c r="BJ185" s="35" t="n">
        <f aca="false">AX185*BI185</f>
        <v>388554.779061724</v>
      </c>
    </row>
    <row r="186" customFormat="false" ht="15" hidden="false" customHeight="false" outlineLevel="0" collapsed="false">
      <c r="A186" s="20"/>
      <c r="B186" s="20"/>
      <c r="C186" s="15" t="n">
        <f aca="false">MOD(C185+3,24)</f>
        <v>0</v>
      </c>
      <c r="D186" s="36" t="n">
        <v>24</v>
      </c>
      <c r="E186" s="102" t="n">
        <f aca="false">input!$C$2</f>
        <v>10</v>
      </c>
      <c r="F186" s="102" t="n">
        <f aca="false">input!$D$2</f>
        <v>2022</v>
      </c>
      <c r="H186" s="39" t="n">
        <f aca="false">AM186</f>
        <v>-58.5350757654937</v>
      </c>
      <c r="I186" s="48" t="n">
        <f aca="false">H186+1.02/(TAN($A$4*(H186+10.3/(H186+5.11)))*60)</f>
        <v>-58.5454006050938</v>
      </c>
      <c r="J186" s="39" t="n">
        <f aca="false">100*(1+COS($A$4*AQ186))/2</f>
        <v>2.56999321522064</v>
      </c>
      <c r="K186" s="48" t="n">
        <f aca="false">IF(AI186&gt;180,AT186-180,AT186+180)</f>
        <v>139.918929420449</v>
      </c>
      <c r="L186" s="10" t="n">
        <f aca="false">L185+1/8</f>
        <v>2459876.5</v>
      </c>
      <c r="M186" s="49" t="n">
        <f aca="false">(L186-2451545)/36525</f>
        <v>0.228104038329911</v>
      </c>
      <c r="N186" s="15" t="n">
        <f aca="false">MOD(280.46061837+360.98564736629*(L186-2451545)+0.000387933*M186^2-M186^3/38710000+$G$4,360)</f>
        <v>32.3816707991064</v>
      </c>
      <c r="O186" s="18" t="n">
        <f aca="false">0.60643382+1336.85522467*M186 - 0.00000313*M186^2 - INT(0.60643382+1336.85522467*M186 - 0.00000313*M186^2)</f>
        <v>0.548509066809061</v>
      </c>
      <c r="P186" s="15" t="n">
        <f aca="false">22640*SIN(Q186)-4586*SIN(Q186-2*S186)+2370*SIN(2*S186)+769*SIN(2*Q186)-668*SIN(R186)-412*SIN(2*T186)-212*SIN(2*Q186-2*S186)-206*SIN(Q186+R186-2*S186)+192*SIN(Q186+2*S186)-165*SIN(R186-2*S186)-125*SIN(S186)-110*SIN(Q186+R186)+148*SIN(Q186-R186)-55*SIN(2*T186-2*S186)</f>
        <v>-18369.3241476279</v>
      </c>
      <c r="Q186" s="18" t="n">
        <f aca="false">2*PI()*(0.374897+1325.55241*M186 - INT(0.374897+1325.55241*M186))</f>
        <v>4.64173292135408</v>
      </c>
      <c r="R186" s="26" t="n">
        <f aca="false">2*PI()*(0.99312619+99.99735956*M186 - 0.00000044*M186^2 - INT(0.99312619+99.99735956*M186- 0.00000044*M186^2))</f>
        <v>5.04494355922513</v>
      </c>
      <c r="S186" s="26" t="n">
        <f aca="false">2*PI()*(0.827361+1236.853086*M186 - INT(0.827361+1236.853086*M186))</f>
        <v>6.02271421038611</v>
      </c>
      <c r="T186" s="26" t="n">
        <f aca="false">2*PI()*(0.259086+1342.227825*M186 - INT(0.259086+1342.227825*M186))</f>
        <v>2.68086704053406</v>
      </c>
      <c r="U186" s="26" t="n">
        <f aca="false">T186+(P186+412*SIN(2*T186)+541*SIN(R186))/206264.8062</f>
        <v>2.58773998871781</v>
      </c>
      <c r="V186" s="26" t="n">
        <f aca="false">T186-2*S186</f>
        <v>-9.36456138023817</v>
      </c>
      <c r="W186" s="25" t="n">
        <f aca="false">-526*SIN(V186)+44*SIN(Q186+V186)-31*SIN(-Q186+V186)-23*SIN(R186+V186)+11*SIN(-R186+V186)-25*SIN(-2*Q186+T186)+21*SIN(-Q186+T186)</f>
        <v>62.9718091983907</v>
      </c>
      <c r="X186" s="26" t="n">
        <f aca="false">2*PI()*(O186+P186/1296000-INT(O186+P186/1296000))</f>
        <v>3.35732711283442</v>
      </c>
      <c r="Y186" s="26" t="n">
        <f aca="false">(18520*SIN(U186)+W186)/206264.8062</f>
        <v>0.0475306294670802</v>
      </c>
      <c r="Z186" s="26" t="n">
        <f aca="false">Y186*180/PI()</f>
        <v>2.72330446606384</v>
      </c>
      <c r="AA186" s="26" t="n">
        <f aca="false">COS(Y186)*COS(X186)</f>
        <v>-0.975716247379574</v>
      </c>
      <c r="AB186" s="26" t="n">
        <f aca="false">COS(Y186)*SIN(X186)</f>
        <v>-0.213823162025746</v>
      </c>
      <c r="AC186" s="26" t="n">
        <f aca="false">SIN(Y186)</f>
        <v>0.0475127349332108</v>
      </c>
      <c r="AD186" s="26" t="n">
        <f aca="false">COS($A$4*(23.4393-46.815*M186/3600))*AB186-SIN($A$4*(23.4393-46.815*M186/3600))*AC186</f>
        <v>-0.215080536021462</v>
      </c>
      <c r="AE186" s="26" t="n">
        <f aca="false">SIN($A$4*(23.4393-46.815*M186/3600))*AB186+COS($A$4*(23.4393-46.815*M186/3600))*AC186</f>
        <v>-0.0414507855684633</v>
      </c>
      <c r="AF186" s="26" t="n">
        <f aca="false">SQRT(1-AE186*AE186)</f>
        <v>0.999140546858027</v>
      </c>
      <c r="AG186" s="10" t="n">
        <f aca="false">ATAN(AE186/AF186)/$A$4</f>
        <v>-2.37563569209788</v>
      </c>
      <c r="AH186" s="26" t="n">
        <f aca="false">IF(24*ATAN(AD186/(AA186+AF186))/PI()&gt;0,24*ATAN(AD186/(AA186+AF186))/PI(),24*ATAN(AD186/(AA186+AF186))/PI()+24)</f>
        <v>12.8287404537002</v>
      </c>
      <c r="AI186" s="10" t="n">
        <f aca="false">IF(N186-15*AH186&gt;0,N186-15*AH186,360+N186-15*AH186)</f>
        <v>199.950563993603</v>
      </c>
      <c r="AJ186" s="18" t="n">
        <f aca="false">0.950724+0.051818*COS(Q186)+0.009531*COS(2*S186-Q186)+0.007843*COS(2*S186)+0.002824*COS(2*Q186)+0.000857*COS(2*S186+Q186)+0.000533*COS(2*S186-R186)+0.000401*COS(2*S186-R186-Q186)+0.00032*COS(Q186-R186)-0.000271*COS(S186)</f>
        <v>0.954892608603845</v>
      </c>
      <c r="AK186" s="50" t="n">
        <f aca="false">ASIN(COS($A$4*$G$2)*COS($A$4*AG186)*COS($A$4*AI186)+SIN($A$4*$G$2)*SIN($A$4*AG186))/$A$4</f>
        <v>-58.0297542535487</v>
      </c>
      <c r="AL186" s="18" t="n">
        <f aca="false">ASIN((0.9983271+0.0016764*COS($A$4*2*$G$2))*COS($A$4*AK186)*SIN($A$4*AJ186))/$A$4</f>
        <v>0.505321511944951</v>
      </c>
      <c r="AM186" s="18" t="n">
        <f aca="false">AK186-AL186</f>
        <v>-58.5350757654937</v>
      </c>
      <c r="AN186" s="10" t="n">
        <f aca="false"> IF(280.4664567 + 360007.6982779*M186/10 + 0.03032028*M186^2/100 + M186^3/49931000&lt;0,MOD(280.4664567 + 360007.6982779*M186/10 + 0.03032028*M186^2/100 + M186^3/49931000+360,360),MOD(280.4664567 + 360007.6982779*M186/10 + 0.03032028*M186^2/100 + M186^3/49931000,360))</f>
        <v>212.387453180836</v>
      </c>
      <c r="AO186" s="27" t="n">
        <f aca="false"> AN186 + (1.9146 - 0.004817*M186 - 0.000014*M186^2)*SIN(R186)+ (0.019993 - 0.000101*M186)*SIN(2*R186)+ 0.00029*SIN(3*R186)</f>
        <v>210.566623471905</v>
      </c>
      <c r="AP186" s="18" t="n">
        <f aca="false">ACOS(COS(X186-$A$4*AO186)*COS(Y186))/$A$4</f>
        <v>18.4016750631905</v>
      </c>
      <c r="AQ186" s="25" t="n">
        <f aca="false">180 - AP186 -0.1468*(1-0.0549*SIN(R186))*SIN($A$4*AP186)/(1-0.0167*SIN($A$4*AO186))</f>
        <v>161.549989331184</v>
      </c>
      <c r="AR186" s="25" t="n">
        <f aca="false">SIN($A$4*AI186)</f>
        <v>-0.341209229513529</v>
      </c>
      <c r="AS186" s="25" t="n">
        <f aca="false">COS($A$4*AI186)*SIN($A$4*$G$2) - TAN($A$4*AG186)*COS($A$4*$G$2)</f>
        <v>0.405470797575483</v>
      </c>
      <c r="AT186" s="25" t="n">
        <f aca="false">IF(OR(AND(AR186*AS186&gt;0), AND(AR186&lt;0,AS186&gt;0)), MOD(ATAN2(AS186,AR186)/$A$4+360,360),  ATAN2(AS186,AR186)/$A$4)</f>
        <v>319.918929420449</v>
      </c>
      <c r="AU186" s="29" t="n">
        <f aca="false">(1+SIN($A$4*H186)*SIN($A$4*AJ186))*120*ASIN(0.272481*SIN($A$4*AJ186))/$A$4</f>
        <v>30.7776664498697</v>
      </c>
      <c r="AV186" s="10" t="n">
        <f aca="false">COS(X186)</f>
        <v>-0.976819435724555</v>
      </c>
      <c r="AW186" s="10" t="n">
        <f aca="false">SIN(X186)</f>
        <v>-0.214064920037737</v>
      </c>
      <c r="AX186" s="30" t="n">
        <f aca="false"> 385000.56 + (-20905355*COS(Q186) - 3699111*COS(2*S186-Q186) - 2955968*COS(2*S186) - 569925*COS(2*Q186) + (1-0.002516*M186)*48888*COS(R186) - 3149*COS(2*T186)  +246158*COS(2*S186-2*Q186) -(1-0.002516*M186)*152138*COS(2*S186-R186-Q186) -170733*COS(2*S186+Q186) -(1-0.002516*M186)*204586*COS(2*S186-R186) -(1-0.002516*M186)*129620*COS(R186-Q186)  + 108743*COS(S186) +(1-0.002516*M186)*104755*COS(R186+Q186) +10321*COS(2*S186-2*T186) +79661*COS(Q186-2*T186) -34782*COS(4*S186-Q186) -23210*COS(3*Q186)  -21636*COS(4*S186-2*Q186) +(1-0.002516*M186)*24208*COS(2*S186+R186-Q186) +(1-0.002516*M186)*30824*COS(2*S186+R186) -8379*COS(S186-Q186) -(1-0.002516*M186)*16675*COS(S186+R186)  -(1-0.002516*M186)*12831*COS(2*S186-R186+Q186) -10445*COS(2*S186+2*Q186) -11650*COS(4*S186) +14403*COS(2*S186-3*Q186) -(1-0.002516*M186)*7003*COS(R186-2*Q186)  + (1-0.002516*M186)*10056*COS(2*S186-R186-2*Q186) +6322*COS(S186+Q186) -(1-0.002516*M186)*(1-0.002516*M186)*9884*COS(2*S186-2*R186) +(1-0.002516*M186)*5751*COS(R186+2*Q186) -(1-0.002516*M186)*(1-0.002516*M186)*4950*COS(2*S186-2*R186-Q186)  +4130*COS(2*S186+Q186-2*T186) -(1-0.002516*M186)*3958*COS(4*S186-R186-Q186) +3258*COS(3*S186-Q186) +(1-0.002516*M186)*2616*COS(2*S186+R186+Q186) -(1-0.002516*M186)*1897*COS(4*S186-R186-2*Q186)  -(1-0.002516*M186)*(1-0.002516*M186)*2117*COS(2*R186-Q186) +(1-0.002516*M186)*(1-0.002516*M186)*2354*COS(2*S186+2*R186-Q186) -1423*COS(4*S186+Q186) -1117*COS(4*Q186) -(1-0.002516*M186)*1571*COS(4*S186-R186)  -1739*COS(S186-2*Q186) -4421*COS(2*Q186-2*T186) +(1-0.002516*M186)*(1-0.002516*M186)*1165*COS(2*R186+Q186) +8752*COS(2*S186-Q186-2*T186))/1000</f>
        <v>382644.342622367</v>
      </c>
      <c r="AY186" s="10" t="n">
        <f aca="false">AY185+1/8</f>
        <v>24</v>
      </c>
      <c r="AZ186" s="17" t="n">
        <f aca="false">AZ185+1</f>
        <v>185</v>
      </c>
      <c r="BA186" s="32" t="n">
        <f aca="false">ATAN(0.99664719*TAN($A$4*input!$E$2))</f>
        <v>-0.400219206115995</v>
      </c>
      <c r="BB186" s="32" t="n">
        <f aca="false">COS(BA186)</f>
        <v>0.920975608992155</v>
      </c>
      <c r="BC186" s="32" t="n">
        <f aca="false">0.99664719*SIN(BA186)</f>
        <v>-0.388313912533463</v>
      </c>
      <c r="BD186" s="32" t="n">
        <f aca="false">6378.14/AX186</f>
        <v>0.0166685856539492</v>
      </c>
      <c r="BE186" s="33" t="n">
        <f aca="false">MOD(N186-15*AH186,360)</f>
        <v>199.950563993603</v>
      </c>
      <c r="BF186" s="27" t="n">
        <f aca="false">COS($A$4*AG186)*SIN($A$4*BE186)</f>
        <v>-0.340915976169153</v>
      </c>
      <c r="BG186" s="27" t="n">
        <f aca="false">COS($A$4*AG186)*COS($A$4*BE186)-BB186*BD186</f>
        <v>-0.954530858879508</v>
      </c>
      <c r="BH186" s="27" t="n">
        <f aca="false">SIN($A$4*AG186)-BC186*BD186</f>
        <v>-0.0349781418567791</v>
      </c>
      <c r="BI186" s="46" t="n">
        <f aca="false">SQRT(BF186^2+BG186^2+BH186^2)</f>
        <v>1.01418752396604</v>
      </c>
      <c r="BJ186" s="35" t="n">
        <f aca="false">AX186*BI186</f>
        <v>388073.118403792</v>
      </c>
    </row>
    <row r="187" customFormat="false" ht="15" hidden="false" customHeight="false" outlineLevel="0" collapsed="false">
      <c r="A187" s="20"/>
      <c r="B187" s="20"/>
      <c r="C187" s="15" t="n">
        <f aca="false">MOD(C186+3,24)</f>
        <v>3</v>
      </c>
      <c r="D187" s="17" t="n">
        <v>24</v>
      </c>
      <c r="E187" s="102" t="n">
        <f aca="false">input!$C$2</f>
        <v>10</v>
      </c>
      <c r="F187" s="102" t="n">
        <f aca="false">input!$D$2</f>
        <v>2022</v>
      </c>
      <c r="H187" s="39" t="n">
        <f aca="false">AM187</f>
        <v>-23.6733082052364</v>
      </c>
      <c r="I187" s="48" t="n">
        <f aca="false">H187+1.02/(TAN($A$4*(H187+10.3/(H187+5.11)))*60)</f>
        <v>-23.7110852414624</v>
      </c>
      <c r="J187" s="39" t="n">
        <f aca="false">100*(1+COS($A$4*AQ187))/2</f>
        <v>2.16058424592776</v>
      </c>
      <c r="K187" s="48" t="n">
        <f aca="false">IF(AI187&gt;180,AT187-180,AT187+180)</f>
        <v>104.061079518903</v>
      </c>
      <c r="L187" s="10" t="n">
        <f aca="false">L186+1/8</f>
        <v>2459876.625</v>
      </c>
      <c r="M187" s="49" t="n">
        <f aca="false">(L187-2451545)/36525</f>
        <v>0.228107460643395</v>
      </c>
      <c r="N187" s="15" t="n">
        <f aca="false">MOD(280.46061837+360.98564736629*(L187-2451545)+0.000387933*M187^2-M187^3/38710000+$G$4,360)</f>
        <v>77.5048767211847</v>
      </c>
      <c r="O187" s="18" t="n">
        <f aca="false">0.60643382+1336.85522467*M187 - 0.00000313*M187^2 - INT(0.60643382+1336.85522467*M187 - 0.00000313*M187^2)</f>
        <v>0.55308420446562</v>
      </c>
      <c r="P187" s="15" t="n">
        <f aca="false">22640*SIN(Q187)-4586*SIN(Q187-2*S187)+2370*SIN(2*S187)+769*SIN(2*Q187)-668*SIN(R187)-412*SIN(2*T187)-212*SIN(2*Q187-2*S187)-206*SIN(Q187+R187-2*S187)+192*SIN(Q187+2*S187)-165*SIN(R187-2*S187)-125*SIN(S187)-110*SIN(Q187+R187)+148*SIN(Q187-R187)-55*SIN(2*T187-2*S187)</f>
        <v>-18306.8557784564</v>
      </c>
      <c r="Q187" s="18" t="n">
        <f aca="false">2*PI()*(0.374897+1325.55241*M187 - INT(0.374897+1325.55241*M187))</f>
        <v>4.67023631432624</v>
      </c>
      <c r="R187" s="26" t="n">
        <f aca="false">2*PI()*(0.99312619+99.99735956*M187 - 0.00000044*M187^2 - INT(0.99312619+99.99735956*M187- 0.00000044*M187^2))</f>
        <v>5.04709380542321</v>
      </c>
      <c r="S187" s="26" t="n">
        <f aca="false">2*PI()*(0.827361+1236.853086*M187 - INT(0.827361+1236.853086*M187))</f>
        <v>6.04931029915104</v>
      </c>
      <c r="T187" s="26" t="n">
        <f aca="false">2*PI()*(0.259086+1342.227825*M187 - INT(0.259086+1342.227825*M187))</f>
        <v>2.70972900545146</v>
      </c>
      <c r="U187" s="26" t="n">
        <f aca="false">T187+(P187+412*SIN(2*T187)+541*SIN(R187))/206264.8062</f>
        <v>2.61697898442292</v>
      </c>
      <c r="V187" s="26" t="n">
        <f aca="false">T187-2*S187</f>
        <v>-9.38889159285061</v>
      </c>
      <c r="W187" s="25" t="n">
        <f aca="false">-526*SIN(V187)+44*SIN(Q187+V187)-31*SIN(-Q187+V187)-23*SIN(R187+V187)+11*SIN(-R187+V187)-25*SIN(-2*Q187+T187)+21*SIN(-Q187+T187)</f>
        <v>50.9155042330847</v>
      </c>
      <c r="X187" s="26" t="n">
        <f aca="false">2*PI()*(O187+P187/1296000-INT(O187+P187/1296000))</f>
        <v>3.38637640573654</v>
      </c>
      <c r="Y187" s="26" t="n">
        <f aca="false">(18520*SIN(U187)+W187)/206264.8062</f>
        <v>0.0452194854257286</v>
      </c>
      <c r="Z187" s="26" t="n">
        <f aca="false">Y187*180/PI()</f>
        <v>2.59088566664758</v>
      </c>
      <c r="AA187" s="26" t="n">
        <f aca="false">COS(Y187)*COS(X187)</f>
        <v>-0.969198000677317</v>
      </c>
      <c r="AB187" s="26" t="n">
        <f aca="false">COS(Y187)*SIN(X187)</f>
        <v>-0.242098795906152</v>
      </c>
      <c r="AC187" s="26" t="n">
        <f aca="false">SIN(Y187)</f>
        <v>0.0452040761865875</v>
      </c>
      <c r="AD187" s="26" t="n">
        <f aca="false">COS($A$4*(23.4393-46.815*M187/3600))*AB187-SIN($A$4*(23.4393-46.815*M187/3600))*AC187</f>
        <v>-0.240105281083994</v>
      </c>
      <c r="AE187" s="26" t="n">
        <f aca="false">SIN($A$4*(23.4393-46.815*M187/3600))*AB187+COS($A$4*(23.4393-46.815*M187/3600))*AC187</f>
        <v>-0.0548150479217878</v>
      </c>
      <c r="AF187" s="26" t="n">
        <f aca="false">SQRT(1-AE187*AE187)</f>
        <v>0.998496525042192</v>
      </c>
      <c r="AG187" s="10" t="n">
        <f aca="false">ATAN(AE187/AF187)/$A$4</f>
        <v>-3.14224582025741</v>
      </c>
      <c r="AH187" s="26" t="n">
        <f aca="false">IF(24*ATAN(AD187/(AA187+AF187))/PI()&gt;0,24*ATAN(AD187/(AA187+AF187))/PI(),24*ATAN(AD187/(AA187+AF187))/PI()+24)</f>
        <v>12.9276062602367</v>
      </c>
      <c r="AI187" s="10" t="n">
        <f aca="false">IF(N187-15*AH187&gt;0,N187-15*AH187,360+N187-15*AH187)</f>
        <v>243.590782817635</v>
      </c>
      <c r="AJ187" s="18" t="n">
        <f aca="false">0.950724+0.051818*COS(Q187)+0.009531*COS(2*S187-Q187)+0.007843*COS(2*S187)+0.002824*COS(2*Q187)+0.000857*COS(2*S187+Q187)+0.000533*COS(2*S187-R187)+0.000401*COS(2*S187-R187-Q187)+0.00032*COS(Q187-R187)-0.000271*COS(S187)</f>
        <v>0.956370281835192</v>
      </c>
      <c r="AK187" s="50" t="n">
        <f aca="false">ASIN(COS($A$4*$G$2)*COS($A$4*AG187)*COS($A$4*AI187)+SIN($A$4*$G$2)*SIN($A$4*AG187))/$A$4</f>
        <v>-22.7920687977416</v>
      </c>
      <c r="AL187" s="18" t="n">
        <f aca="false">ASIN((0.9983271+0.0016764*COS($A$4*2*$G$2))*COS($A$4*AK187)*SIN($A$4*AJ187))/$A$4</f>
        <v>0.881239407494753</v>
      </c>
      <c r="AM187" s="18" t="n">
        <f aca="false">AK187-AL187</f>
        <v>-23.6733082052364</v>
      </c>
      <c r="AN187" s="10" t="n">
        <f aca="false"> IF(280.4664567 + 360007.6982779*M187/10 + 0.03032028*M187^2/100 + M187^3/49931000&lt;0,MOD(280.4664567 + 360007.6982779*M187/10 + 0.03032028*M187^2/100 + M187^3/49931000+360,360),MOD(280.4664567 + 360007.6982779*M187/10 + 0.03032028*M187^2/100 + M187^3/49931000,360))</f>
        <v>212.510659101321</v>
      </c>
      <c r="AO187" s="27" t="n">
        <f aca="false"> AN187 + (1.9146 - 0.004817*M187 - 0.000014*M187^2)*SIN(R187)+ (0.019993 - 0.000101*M187)*SIN(2*R187)+ 0.00029*SIN(3*R187)</f>
        <v>210.691107765789</v>
      </c>
      <c r="AP187" s="18" t="n">
        <f aca="false">ACOS(COS(X187-$A$4*AO187)*COS(Y187))/$A$4</f>
        <v>16.8605719341706</v>
      </c>
      <c r="AQ187" s="25" t="n">
        <f aca="false">180 - AP187 -0.1468*(1-0.0549*SIN(R187))*SIN($A$4*AP187)/(1-0.0167*SIN($A$4*AO187))</f>
        <v>163.095020338096</v>
      </c>
      <c r="AR187" s="25" t="n">
        <f aca="false">SIN($A$4*AI187)</f>
        <v>-0.89564022010824</v>
      </c>
      <c r="AS187" s="25" t="n">
        <f aca="false">COS($A$4*AI187)*SIN($A$4*$G$2) - TAN($A$4*AG187)*COS($A$4*$G$2)</f>
        <v>0.22432259831937</v>
      </c>
      <c r="AT187" s="25" t="n">
        <f aca="false">IF(OR(AND(AR187*AS187&gt;0), AND(AR187&lt;0,AS187&gt;0)), MOD(ATAN2(AS187,AR187)/$A$4+360,360),  ATAN2(AS187,AR187)/$A$4)</f>
        <v>284.061079518903</v>
      </c>
      <c r="AU187" s="29" t="n">
        <f aca="false">(1+SIN($A$4*H187)*SIN($A$4*AJ187))*120*ASIN(0.272481*SIN($A$4*AJ187))/$A$4</f>
        <v>31.0602194471806</v>
      </c>
      <c r="AV187" s="10" t="n">
        <f aca="false">COS(X187)</f>
        <v>-0.970189754573424</v>
      </c>
      <c r="AW187" s="10" t="n">
        <f aca="false">SIN(X187)</f>
        <v>-0.242346529004977</v>
      </c>
      <c r="AX187" s="30" t="n">
        <f aca="false"> 385000.56 + (-20905355*COS(Q187) - 3699111*COS(2*S187-Q187) - 2955968*COS(2*S187) - 569925*COS(2*Q187) + (1-0.002516*M187)*48888*COS(R187) - 3149*COS(2*T187)  +246158*COS(2*S187-2*Q187) -(1-0.002516*M187)*152138*COS(2*S187-R187-Q187) -170733*COS(2*S187+Q187) -(1-0.002516*M187)*204586*COS(2*S187-R187) -(1-0.002516*M187)*129620*COS(R187-Q187)  + 108743*COS(S187) +(1-0.002516*M187)*104755*COS(R187+Q187) +10321*COS(2*S187-2*T187) +79661*COS(Q187-2*T187) -34782*COS(4*S187-Q187) -23210*COS(3*Q187)  -21636*COS(4*S187-2*Q187) +(1-0.002516*M187)*24208*COS(2*S187+R187-Q187) +(1-0.002516*M187)*30824*COS(2*S187+R187) -8379*COS(S187-Q187) -(1-0.002516*M187)*16675*COS(S187+R187)  -(1-0.002516*M187)*12831*COS(2*S187-R187+Q187) -10445*COS(2*S187+2*Q187) -11650*COS(4*S187) +14403*COS(2*S187-3*Q187) -(1-0.002516*M187)*7003*COS(R187-2*Q187)  + (1-0.002516*M187)*10056*COS(2*S187-R187-2*Q187) +6322*COS(S187+Q187) -(1-0.002516*M187)*(1-0.002516*M187)*9884*COS(2*S187-2*R187) +(1-0.002516*M187)*5751*COS(R187+2*Q187) -(1-0.002516*M187)*(1-0.002516*M187)*4950*COS(2*S187-2*R187-Q187)  +4130*COS(2*S187+Q187-2*T187) -(1-0.002516*M187)*3958*COS(4*S187-R187-Q187) +3258*COS(3*S187-Q187) +(1-0.002516*M187)*2616*COS(2*S187+R187+Q187) -(1-0.002516*M187)*1897*COS(4*S187-R187-2*Q187)  -(1-0.002516*M187)*(1-0.002516*M187)*2117*COS(2*R187-Q187) +(1-0.002516*M187)*(1-0.002516*M187)*2354*COS(2*S187+2*R187-Q187) -1423*COS(4*S187+Q187) -1117*COS(4*Q187) -(1-0.002516*M187)*1571*COS(4*S187-R187)  -1739*COS(S187-2*Q187) -4421*COS(2*Q187-2*T187) +(1-0.002516*M187)*(1-0.002516*M187)*1165*COS(2*R187+Q187) +8752*COS(2*S187-Q187-2*T187))/1000</f>
        <v>382062.286367583</v>
      </c>
      <c r="AY187" s="10" t="n">
        <f aca="false">AY186+1/8</f>
        <v>24.125</v>
      </c>
      <c r="AZ187" s="17" t="n">
        <f aca="false">AZ186+1</f>
        <v>186</v>
      </c>
      <c r="BA187" s="32" t="n">
        <f aca="false">ATAN(0.99664719*TAN($A$4*input!$E$2))</f>
        <v>-0.400219206115995</v>
      </c>
      <c r="BB187" s="32" t="n">
        <f aca="false">COS(BA187)</f>
        <v>0.920975608992155</v>
      </c>
      <c r="BC187" s="32" t="n">
        <f aca="false">0.99664719*SIN(BA187)</f>
        <v>-0.388313912533463</v>
      </c>
      <c r="BD187" s="32" t="n">
        <f aca="false">6378.14/AX187</f>
        <v>0.0166939795619178</v>
      </c>
      <c r="BE187" s="33" t="n">
        <f aca="false">MOD(N187-15*AH187,360)</f>
        <v>243.590782817635</v>
      </c>
      <c r="BF187" s="27" t="n">
        <f aca="false">COS($A$4*AG187)*SIN($A$4*BE187)</f>
        <v>-0.894293647466102</v>
      </c>
      <c r="BG187" s="27" t="n">
        <f aca="false">COS($A$4*AG187)*COS($A$4*BE187)-BB187*BD187</f>
        <v>-0.459485300247264</v>
      </c>
      <c r="BH187" s="27" t="n">
        <f aca="false">SIN($A$4*AG187)-BC187*BD187</f>
        <v>-0.0483325434023458</v>
      </c>
      <c r="BI187" s="46" t="n">
        <f aca="false">SQRT(BF187^2+BG187^2+BH187^2)</f>
        <v>1.00659023628947</v>
      </c>
      <c r="BJ187" s="35" t="n">
        <f aca="false">AX187*BI187</f>
        <v>384580.167112038</v>
      </c>
    </row>
    <row r="188" customFormat="false" ht="15" hidden="false" customHeight="false" outlineLevel="0" collapsed="false">
      <c r="A188" s="20"/>
      <c r="B188" s="20"/>
      <c r="C188" s="15" t="n">
        <f aca="false">MOD(C187+3,24)</f>
        <v>6</v>
      </c>
      <c r="D188" s="17" t="n">
        <v>24</v>
      </c>
      <c r="E188" s="102" t="n">
        <f aca="false">input!$C$2</f>
        <v>10</v>
      </c>
      <c r="F188" s="102" t="n">
        <f aca="false">input!$D$2</f>
        <v>2022</v>
      </c>
      <c r="H188" s="39" t="n">
        <f aca="false">AM188</f>
        <v>16.4582444164935</v>
      </c>
      <c r="I188" s="48" t="n">
        <f aca="false">H188+1.02/(TAN($A$4*(H188+10.3/(H188+5.11)))*60)</f>
        <v>16.5140725752822</v>
      </c>
      <c r="J188" s="39" t="n">
        <f aca="false">100*(1+COS($A$4*AQ188))/2</f>
        <v>1.7848166233113</v>
      </c>
      <c r="K188" s="48" t="n">
        <f aca="false">IF(AI188&gt;180,AT188-180,AT188+180)</f>
        <v>86.8362584322285</v>
      </c>
      <c r="L188" s="10" t="n">
        <f aca="false">L187+1/8</f>
        <v>2459876.75</v>
      </c>
      <c r="M188" s="49" t="n">
        <f aca="false">(L188-2451545)/36525</f>
        <v>0.228110882956879</v>
      </c>
      <c r="N188" s="15" t="n">
        <f aca="false">MOD(280.46061837+360.98564736629*(L188-2451545)+0.000387933*M188^2-M188^3/38710000+$G$4,360)</f>
        <v>122.628082642332</v>
      </c>
      <c r="O188" s="18" t="n">
        <f aca="false">0.60643382+1336.85522467*M188 - 0.00000313*M188^2 - INT(0.60643382+1336.85522467*M188 - 0.00000313*M188^2)</f>
        <v>0.557659342122122</v>
      </c>
      <c r="P188" s="15" t="n">
        <f aca="false">22640*SIN(Q188)-4586*SIN(Q188-2*S188)+2370*SIN(2*S188)+769*SIN(2*Q188)-668*SIN(R188)-412*SIN(2*T188)-212*SIN(2*Q188-2*S188)-206*SIN(Q188+R188-2*S188)+192*SIN(Q188+2*S188)-165*SIN(R188-2*S188)-125*SIN(S188)-110*SIN(Q188+R188)+148*SIN(Q188-R188)-55*SIN(2*T188-2*S188)</f>
        <v>-18226.0581122406</v>
      </c>
      <c r="Q188" s="18" t="n">
        <f aca="false">2*PI()*(0.374897+1325.55241*M188 - INT(0.374897+1325.55241*M188))</f>
        <v>4.69873970729804</v>
      </c>
      <c r="R188" s="26" t="n">
        <f aca="false">2*PI()*(0.99312619+99.99735956*M188 - 0.00000044*M188^2 - INT(0.99312619+99.99735956*M188- 0.00000044*M188^2))</f>
        <v>5.04924405162129</v>
      </c>
      <c r="S188" s="26" t="n">
        <f aca="false">2*PI()*(0.827361+1236.853086*M188 - INT(0.827361+1236.853086*M188))</f>
        <v>6.0759063879156</v>
      </c>
      <c r="T188" s="26" t="n">
        <f aca="false">2*PI()*(0.259086+1342.227825*M188 - INT(0.259086+1342.227825*M188))</f>
        <v>2.73859097036922</v>
      </c>
      <c r="U188" s="26" t="n">
        <f aca="false">T188+(P188+412*SIN(2*T188)+541*SIN(R188))/206264.8062</f>
        <v>2.6463119131253</v>
      </c>
      <c r="V188" s="26" t="n">
        <f aca="false">T188-2*S188</f>
        <v>-9.41322180546198</v>
      </c>
      <c r="W188" s="25" t="n">
        <f aca="false">-526*SIN(V188)+44*SIN(Q188+V188)-31*SIN(-Q188+V188)-23*SIN(R188+V188)+11*SIN(-R188+V188)-25*SIN(-2*Q188+T188)+21*SIN(-Q188+T188)</f>
        <v>38.7721876484903</v>
      </c>
      <c r="X188" s="26" t="n">
        <f aca="false">2*PI()*(O188+P188/1296000-INT(O188+P188/1296000))</f>
        <v>3.41551456157803</v>
      </c>
      <c r="Y188" s="26" t="n">
        <f aca="false">(18520*SIN(U188)+W188)/206264.8062</f>
        <v>0.0428620539704138</v>
      </c>
      <c r="Z188" s="26" t="n">
        <f aca="false">Y188*180/PI()</f>
        <v>2.45581479376667</v>
      </c>
      <c r="AA188" s="26" t="n">
        <f aca="false">COS(Y188)*COS(X188)</f>
        <v>-0.961833195372826</v>
      </c>
      <c r="AB188" s="26" t="n">
        <f aca="false">COS(Y188)*SIN(X188)</f>
        <v>-0.270260750720064</v>
      </c>
      <c r="AC188" s="26" t="n">
        <f aca="false">SIN(Y188)</f>
        <v>0.0428489311316561</v>
      </c>
      <c r="AD188" s="26" t="n">
        <f aca="false">COS($A$4*(23.4393-46.815*M188/3600))*AB188-SIN($A$4*(23.4393-46.815*M188/3600))*AC188</f>
        <v>-0.265007236339015</v>
      </c>
      <c r="AE188" s="26" t="n">
        <f aca="false">SIN($A$4*(23.4393-46.815*M188/3600))*AB188+COS($A$4*(23.4393-46.815*M188/3600))*AC188</f>
        <v>-0.0681767479926645</v>
      </c>
      <c r="AF188" s="26" t="n">
        <f aca="false">SQRT(1-AE188*AE188)</f>
        <v>0.997673258653927</v>
      </c>
      <c r="AG188" s="10" t="n">
        <f aca="false">ATAN(AE188/AF188)/$A$4</f>
        <v>-3.90927234667313</v>
      </c>
      <c r="AH188" s="26" t="n">
        <f aca="false">IF(24*ATAN(AD188/(AA188+AF188))/PI()&gt;0,24*ATAN(AD188/(AA188+AF188))/PI(),24*ATAN(AD188/(AA188+AF188))/PI()+24)</f>
        <v>13.0269406799983</v>
      </c>
      <c r="AI188" s="10" t="n">
        <f aca="false">IF(N188-15*AH188&gt;0,N188-15*AH188,360+N188-15*AH188)</f>
        <v>287.223972442357</v>
      </c>
      <c r="AJ188" s="18" t="n">
        <f aca="false">0.950724+0.051818*COS(Q188)+0.009531*COS(2*S188-Q188)+0.007843*COS(2*S188)+0.002824*COS(2*Q188)+0.000857*COS(2*S188+Q188)+0.000533*COS(2*S188-R188)+0.000401*COS(2*S188-R188-Q188)+0.00032*COS(Q188-R188)-0.000271*COS(S188)</f>
        <v>0.957838589536714</v>
      </c>
      <c r="AK188" s="50" t="n">
        <f aca="false">ASIN(COS($A$4*$G$2)*COS($A$4*AG188)*COS($A$4*AI188)+SIN($A$4*$G$2)*SIN($A$4*AG188))/$A$4</f>
        <v>17.3719243093299</v>
      </c>
      <c r="AL188" s="18" t="n">
        <f aca="false">ASIN((0.9983271+0.0016764*COS($A$4*2*$G$2))*COS($A$4*AK188)*SIN($A$4*AJ188))/$A$4</f>
        <v>0.913679892836426</v>
      </c>
      <c r="AM188" s="18" t="n">
        <f aca="false">AK188-AL188</f>
        <v>16.4582444164935</v>
      </c>
      <c r="AN188" s="10" t="n">
        <f aca="false"> IF(280.4664567 + 360007.6982779*M188/10 + 0.03032028*M188^2/100 + M188^3/49931000&lt;0,MOD(280.4664567 + 360007.6982779*M188/10 + 0.03032028*M188^2/100 + M188^3/49931000+360,360),MOD(280.4664567 + 360007.6982779*M188/10 + 0.03032028*M188^2/100 + M188^3/49931000,360))</f>
        <v>212.633865021806</v>
      </c>
      <c r="AO188" s="27" t="n">
        <f aca="false"> AN188 + (1.9146 - 0.004817*M188 - 0.000014*M188^2)*SIN(R188)+ (0.019993 - 0.000101*M188)*SIN(2*R188)+ 0.00029*SIN(3*R188)</f>
        <v>210.815600638575</v>
      </c>
      <c r="AP188" s="18" t="n">
        <f aca="false">ACOS(COS(X188-$A$4*AO188)*COS(Y188))/$A$4</f>
        <v>15.3145658164238</v>
      </c>
      <c r="AQ188" s="25" t="n">
        <f aca="false">180 - AP188 -0.1468*(1-0.0549*SIN(R188))*SIN($A$4*AP188)/(1-0.0167*SIN($A$4*AO188))</f>
        <v>164.644998568767</v>
      </c>
      <c r="AR188" s="25" t="n">
        <f aca="false">SIN($A$4*AI188)</f>
        <v>-0.955154554840735</v>
      </c>
      <c r="AS188" s="25" t="n">
        <f aca="false">COS($A$4*AI188)*SIN($A$4*$G$2) - TAN($A$4*AG188)*COS($A$4*$G$2)</f>
        <v>-0.0527951126446766</v>
      </c>
      <c r="AT188" s="25" t="n">
        <f aca="false">IF(OR(AND(AR188*AS188&gt;0), AND(AR188&lt;0,AS188&gt;0)), MOD(ATAN2(AS188,AR188)/$A$4+360,360),  ATAN2(AS188,AR188)/$A$4)</f>
        <v>266.836258432229</v>
      </c>
      <c r="AU188" s="29" t="n">
        <f aca="false">(1+SIN($A$4*H188)*SIN($A$4*AJ188))*120*ASIN(0.272481*SIN($A$4*AJ188))/$A$4</f>
        <v>31.4661118543311</v>
      </c>
      <c r="AV188" s="10" t="n">
        <f aca="false">COS(X188)</f>
        <v>-0.962717390850205</v>
      </c>
      <c r="AW188" s="10" t="n">
        <f aca="false">SIN(X188)</f>
        <v>-0.270509196432532</v>
      </c>
      <c r="AX188" s="30" t="n">
        <f aca="false"> 385000.56 + (-20905355*COS(Q188) - 3699111*COS(2*S188-Q188) - 2955968*COS(2*S188) - 569925*COS(2*Q188) + (1-0.002516*M188)*48888*COS(R188) - 3149*COS(2*T188)  +246158*COS(2*S188-2*Q188) -(1-0.002516*M188)*152138*COS(2*S188-R188-Q188) -170733*COS(2*S188+Q188) -(1-0.002516*M188)*204586*COS(2*S188-R188) -(1-0.002516*M188)*129620*COS(R188-Q188)  + 108743*COS(S188) +(1-0.002516*M188)*104755*COS(R188+Q188) +10321*COS(2*S188-2*T188) +79661*COS(Q188-2*T188) -34782*COS(4*S188-Q188) -23210*COS(3*Q188)  -21636*COS(4*S188-2*Q188) +(1-0.002516*M188)*24208*COS(2*S188+R188-Q188) +(1-0.002516*M188)*30824*COS(2*S188+R188) -8379*COS(S188-Q188) -(1-0.002516*M188)*16675*COS(S188+R188)  -(1-0.002516*M188)*12831*COS(2*S188-R188+Q188) -10445*COS(2*S188+2*Q188) -11650*COS(4*S188) +14403*COS(2*S188-3*Q188) -(1-0.002516*M188)*7003*COS(R188-2*Q188)  + (1-0.002516*M188)*10056*COS(2*S188-R188-2*Q188) +6322*COS(S188+Q188) -(1-0.002516*M188)*(1-0.002516*M188)*9884*COS(2*S188-2*R188) +(1-0.002516*M188)*5751*COS(R188+2*Q188) -(1-0.002516*M188)*(1-0.002516*M188)*4950*COS(2*S188-2*R188-Q188)  +4130*COS(2*S188+Q188-2*T188) -(1-0.002516*M188)*3958*COS(4*S188-R188-Q188) +3258*COS(3*S188-Q188) +(1-0.002516*M188)*2616*COS(2*S188+R188+Q188) -(1-0.002516*M188)*1897*COS(4*S188-R188-2*Q188)  -(1-0.002516*M188)*(1-0.002516*M188)*2117*COS(2*R188-Q188) +(1-0.002516*M188)*(1-0.002516*M188)*2354*COS(2*S188+2*R188-Q188) -1423*COS(4*S188+Q188) -1117*COS(4*Q188) -(1-0.002516*M188)*1571*COS(4*S188-R188)  -1739*COS(S188-2*Q188) -4421*COS(2*Q188-2*T188) +(1-0.002516*M188)*(1-0.002516*M188)*1165*COS(2*R188+Q188) +8752*COS(2*S188-Q188-2*T188))/1000</f>
        <v>381486.07787256</v>
      </c>
      <c r="AY188" s="10" t="n">
        <f aca="false">AY187+1/8</f>
        <v>24.25</v>
      </c>
      <c r="AZ188" s="17" t="n">
        <f aca="false">AZ187+1</f>
        <v>187</v>
      </c>
      <c r="BA188" s="32" t="n">
        <f aca="false">ATAN(0.99664719*TAN($A$4*input!$E$2))</f>
        <v>-0.400219206115995</v>
      </c>
      <c r="BB188" s="32" t="n">
        <f aca="false">COS(BA188)</f>
        <v>0.920975608992155</v>
      </c>
      <c r="BC188" s="32" t="n">
        <f aca="false">0.99664719*SIN(BA188)</f>
        <v>-0.388313912533463</v>
      </c>
      <c r="BD188" s="32" t="n">
        <f aca="false">6378.14/AX188</f>
        <v>0.0167191946704034</v>
      </c>
      <c r="BE188" s="33" t="n">
        <f aca="false">MOD(N188-15*AH188,360)</f>
        <v>287.223972442357</v>
      </c>
      <c r="BF188" s="27" t="n">
        <f aca="false">COS($A$4*AG188)*SIN($A$4*BE188)</f>
        <v>-0.952932157246097</v>
      </c>
      <c r="BG188" s="27" t="n">
        <f aca="false">COS($A$4*AG188)*COS($A$4*BE188)-BB188*BD188</f>
        <v>0.280020774205419</v>
      </c>
      <c r="BH188" s="27" t="n">
        <f aca="false">SIN($A$4*AG188)-BC188*BD188</f>
        <v>-0.0616844520957915</v>
      </c>
      <c r="BI188" s="46" t="n">
        <f aca="false">SQRT(BF188^2+BG188^2+BH188^2)</f>
        <v>0.995136323289759</v>
      </c>
      <c r="BJ188" s="35" t="n">
        <f aca="false">AX188*BI188</f>
        <v>379630.65292033</v>
      </c>
    </row>
    <row r="189" customFormat="false" ht="15" hidden="false" customHeight="false" outlineLevel="0" collapsed="false">
      <c r="A189" s="20"/>
      <c r="B189" s="20"/>
      <c r="C189" s="15" t="n">
        <f aca="false">MOD(C188+3,24)</f>
        <v>9</v>
      </c>
      <c r="D189" s="17" t="n">
        <v>24</v>
      </c>
      <c r="E189" s="102" t="n">
        <f aca="false">input!$C$2</f>
        <v>10</v>
      </c>
      <c r="F189" s="102" t="n">
        <f aca="false">input!$D$2</f>
        <v>2022</v>
      </c>
      <c r="H189" s="39" t="n">
        <f aca="false">AM189</f>
        <v>55.8877161137864</v>
      </c>
      <c r="I189" s="48" t="n">
        <f aca="false">H189+1.02/(TAN($A$4*(H189+10.3/(H189+5.11)))*60)</f>
        <v>55.8991583516736</v>
      </c>
      <c r="J189" s="39" t="n">
        <f aca="false">100*(1+COS($A$4*AQ189))/2</f>
        <v>1.44335035749507</v>
      </c>
      <c r="K189" s="48" t="n">
        <f aca="false">IF(AI189&gt;180,AT189-180,AT189+180)</f>
        <v>61.3663071772347</v>
      </c>
      <c r="L189" s="10" t="n">
        <f aca="false">L188+1/8</f>
        <v>2459876.875</v>
      </c>
      <c r="M189" s="49" t="n">
        <f aca="false">(L189-2451545)/36525</f>
        <v>0.228114305270363</v>
      </c>
      <c r="N189" s="15" t="n">
        <f aca="false">MOD(280.46061837+360.98564736629*(L189-2451545)+0.000387933*M189^2-M189^3/38710000+$G$4,360)</f>
        <v>167.751288563479</v>
      </c>
      <c r="O189" s="18" t="n">
        <f aca="false">0.60643382+1336.85522467*M189 - 0.00000313*M189^2 - INT(0.60643382+1336.85522467*M189 - 0.00000313*M189^2)</f>
        <v>0.562234479778738</v>
      </c>
      <c r="P189" s="15" t="n">
        <f aca="false">22640*SIN(Q189)-4586*SIN(Q189-2*S189)+2370*SIN(2*S189)+769*SIN(2*Q189)-668*SIN(R189)-412*SIN(2*T189)-212*SIN(2*Q189-2*S189)-206*SIN(Q189+R189-2*S189)+192*SIN(Q189+2*S189)-165*SIN(R189-2*S189)-125*SIN(S189)-110*SIN(Q189+R189)+148*SIN(Q189-R189)-55*SIN(2*T189-2*S189)</f>
        <v>-18127.0409337967</v>
      </c>
      <c r="Q189" s="18" t="n">
        <f aca="false">2*PI()*(0.374897+1325.55241*M189 - INT(0.374897+1325.55241*M189))</f>
        <v>4.72724310027019</v>
      </c>
      <c r="R189" s="26" t="n">
        <f aca="false">2*PI()*(0.99312619+99.99735956*M189 - 0.00000044*M189^2 - INT(0.99312619+99.99735956*M189- 0.00000044*M189^2))</f>
        <v>5.05139429781942</v>
      </c>
      <c r="S189" s="26" t="n">
        <f aca="false">2*PI()*(0.827361+1236.853086*M189 - INT(0.827361+1236.853086*M189))</f>
        <v>6.10250247668088</v>
      </c>
      <c r="T189" s="26" t="n">
        <f aca="false">2*PI()*(0.259086+1342.227825*M189 - INT(0.259086+1342.227825*M189))</f>
        <v>2.76745293528698</v>
      </c>
      <c r="U189" s="26" t="n">
        <f aca="false">T189+(P189+412*SIN(2*T189)+541*SIN(R189))/206264.8062</f>
        <v>2.67573798477723</v>
      </c>
      <c r="V189" s="26" t="n">
        <f aca="false">T189-2*S189</f>
        <v>-9.43755201807478</v>
      </c>
      <c r="W189" s="25" t="n">
        <f aca="false">-526*SIN(V189)+44*SIN(Q189+V189)-31*SIN(-Q189+V189)-23*SIN(R189+V189)+11*SIN(-R189+V189)-25*SIN(-2*Q189+T189)+21*SIN(-Q189+T189)</f>
        <v>26.5487009510997</v>
      </c>
      <c r="X189" s="26" t="n">
        <f aca="false">2*PI()*(O189+P189/1296000-INT(O189+P189/1296000))</f>
        <v>3.44474104810815</v>
      </c>
      <c r="Y189" s="26" t="n">
        <f aca="false">(18520*SIN(U189)+W189)/206264.8062</f>
        <v>0.0404600470978215</v>
      </c>
      <c r="Z189" s="26" t="n">
        <f aca="false">Y189*180/PI()</f>
        <v>2.31818993760571</v>
      </c>
      <c r="AA189" s="26" t="n">
        <f aca="false">COS(Y189)*COS(X189)</f>
        <v>-0.953620263344387</v>
      </c>
      <c r="AB189" s="26" t="n">
        <f aca="false">COS(Y189)*SIN(X189)</f>
        <v>-0.298282200283599</v>
      </c>
      <c r="AC189" s="26" t="n">
        <f aca="false">SIN(Y189)</f>
        <v>0.0404490090478939</v>
      </c>
      <c r="AD189" s="26" t="n">
        <f aca="false">COS($A$4*(23.4393-46.815*M189/3600))*AB189-SIN($A$4*(23.4393-46.815*M189/3600))*AC189</f>
        <v>-0.289762468524608</v>
      </c>
      <c r="AE189" s="26" t="n">
        <f aca="false">SIN($A$4*(23.4393-46.815*M189/3600))*AB189+COS($A$4*(23.4393-46.815*M189/3600))*AC189</f>
        <v>-0.0815236479403836</v>
      </c>
      <c r="AF189" s="26" t="n">
        <f aca="false">SQRT(1-AE189*AE189)</f>
        <v>0.996671407649729</v>
      </c>
      <c r="AG189" s="10" t="n">
        <f aca="false">ATAN(AE189/AF189)/$A$4</f>
        <v>-4.67615044259473</v>
      </c>
      <c r="AH189" s="26" t="n">
        <f aca="false">IF(24*ATAN(AD189/(AA189+AF189))/PI()&gt;0,24*ATAN(AD189/(AA189+AF189))/PI(),24*ATAN(AD189/(AA189+AF189))/PI()+24)</f>
        <v>13.1267784355241</v>
      </c>
      <c r="AI189" s="10" t="n">
        <f aca="false">IF(N189-15*AH189&gt;0,N189-15*AH189,360+N189-15*AH189)</f>
        <v>330.849612030617</v>
      </c>
      <c r="AJ189" s="18" t="n">
        <f aca="false">0.950724+0.051818*COS(Q189)+0.009531*COS(2*S189-Q189)+0.007843*COS(2*S189)+0.002824*COS(2*Q189)+0.000857*COS(2*S189+Q189)+0.000533*COS(2*S189-R189)+0.000401*COS(2*S189-R189-Q189)+0.00032*COS(Q189-R189)-0.000271*COS(S189)</f>
        <v>0.959295625230019</v>
      </c>
      <c r="AK189" s="50" t="n">
        <f aca="false">ASIN(COS($A$4*$G$2)*COS($A$4*AG189)*COS($A$4*AI189)+SIN($A$4*$G$2)*SIN($A$4*AG189))/$A$4</f>
        <v>56.4180435966765</v>
      </c>
      <c r="AL189" s="18" t="n">
        <f aca="false">ASIN((0.9983271+0.0016764*COS($A$4*2*$G$2))*COS($A$4*AK189)*SIN($A$4*AJ189))/$A$4</f>
        <v>0.530327482890052</v>
      </c>
      <c r="AM189" s="18" t="n">
        <f aca="false">AK189-AL189</f>
        <v>55.8877161137864</v>
      </c>
      <c r="AN189" s="10" t="n">
        <f aca="false"> IF(280.4664567 + 360007.6982779*M189/10 + 0.03032028*M189^2/100 + M189^3/49931000&lt;0,MOD(280.4664567 + 360007.6982779*M189/10 + 0.03032028*M189^2/100 + M189^3/49931000+360,360),MOD(280.4664567 + 360007.6982779*M189/10 + 0.03032028*M189^2/100 + M189^3/49931000,360))</f>
        <v>212.757070942294</v>
      </c>
      <c r="AO189" s="27" t="n">
        <f aca="false"> AN189 + (1.9146 - 0.004817*M189 - 0.000014*M189^2)*SIN(R189)+ (0.019993 - 0.000101*M189)*SIN(2*R189)+ 0.00029*SIN(3*R189)</f>
        <v>210.940102085307</v>
      </c>
      <c r="AP189" s="18" t="n">
        <f aca="false">ACOS(COS(X189-$A$4*AO189)*COS(Y189))/$A$4</f>
        <v>13.7638866778357</v>
      </c>
      <c r="AQ189" s="25" t="n">
        <f aca="false">180 - AP189 -0.1468*(1-0.0549*SIN(R189))*SIN($A$4*AP189)/(1-0.0167*SIN($A$4*AO189))</f>
        <v>166.199690851463</v>
      </c>
      <c r="AR189" s="25" t="n">
        <f aca="false">SIN($A$4*AI189)</f>
        <v>-0.487103618978471</v>
      </c>
      <c r="AS189" s="25" t="n">
        <f aca="false">COS($A$4*AI189)*SIN($A$4*$G$2) - TAN($A$4*AG189)*COS($A$4*$G$2)</f>
        <v>-0.265949223634412</v>
      </c>
      <c r="AT189" s="25" t="n">
        <f aca="false">IF(OR(AND(AR189*AS189&gt;0), AND(AR189&lt;0,AS189&gt;0)), MOD(ATAN2(AS189,AR189)/$A$4+360,360),  ATAN2(AS189,AR189)/$A$4)</f>
        <v>241.366307177235</v>
      </c>
      <c r="AU189" s="29" t="n">
        <f aca="false">(1+SIN($A$4*H189)*SIN($A$4*AJ189))*120*ASIN(0.272481*SIN($A$4*AJ189))/$A$4</f>
        <v>31.8001931365689</v>
      </c>
      <c r="AV189" s="10" t="n">
        <f aca="false">COS(X189)</f>
        <v>-0.954401341634908</v>
      </c>
      <c r="AW189" s="10" t="n">
        <f aca="false">SIN(X189)</f>
        <v>-0.29852651320358</v>
      </c>
      <c r="AX189" s="30" t="n">
        <f aca="false"> 385000.56 + (-20905355*COS(Q189) - 3699111*COS(2*S189-Q189) - 2955968*COS(2*S189) - 569925*COS(2*Q189) + (1-0.002516*M189)*48888*COS(R189) - 3149*COS(2*T189)  +246158*COS(2*S189-2*Q189) -(1-0.002516*M189)*152138*COS(2*S189-R189-Q189) -170733*COS(2*S189+Q189) -(1-0.002516*M189)*204586*COS(2*S189-R189) -(1-0.002516*M189)*129620*COS(R189-Q189)  + 108743*COS(S189) +(1-0.002516*M189)*104755*COS(R189+Q189) +10321*COS(2*S189-2*T189) +79661*COS(Q189-2*T189) -34782*COS(4*S189-Q189) -23210*COS(3*Q189)  -21636*COS(4*S189-2*Q189) +(1-0.002516*M189)*24208*COS(2*S189+R189-Q189) +(1-0.002516*M189)*30824*COS(2*S189+R189) -8379*COS(S189-Q189) -(1-0.002516*M189)*16675*COS(S189+R189)  -(1-0.002516*M189)*12831*COS(2*S189-R189+Q189) -10445*COS(2*S189+2*Q189) -11650*COS(4*S189) +14403*COS(2*S189-3*Q189) -(1-0.002516*M189)*7003*COS(R189-2*Q189)  + (1-0.002516*M189)*10056*COS(2*S189-R189-2*Q189) +6322*COS(S189+Q189) -(1-0.002516*M189)*(1-0.002516*M189)*9884*COS(2*S189-2*R189) +(1-0.002516*M189)*5751*COS(R189+2*Q189) -(1-0.002516*M189)*(1-0.002516*M189)*4950*COS(2*S189-2*R189-Q189)  +4130*COS(2*S189+Q189-2*T189) -(1-0.002516*M189)*3958*COS(4*S189-R189-Q189) +3258*COS(3*S189-Q189) +(1-0.002516*M189)*2616*COS(2*S189+R189+Q189) -(1-0.002516*M189)*1897*COS(4*S189-R189-2*Q189)  -(1-0.002516*M189)*(1-0.002516*M189)*2117*COS(2*R189-Q189) +(1-0.002516*M189)*(1-0.002516*M189)*2354*COS(2*S189+2*R189-Q189) -1423*COS(4*S189+Q189) -1117*COS(4*Q189) -(1-0.002516*M189)*1571*COS(4*S189-R189)  -1739*COS(S189-2*Q189) -4421*COS(2*Q189-2*T189) +(1-0.002516*M189)*(1-0.002516*M189)*1165*COS(2*R189+Q189) +8752*COS(2*S189-Q189-2*T189))/1000</f>
        <v>380916.375574323</v>
      </c>
      <c r="AY189" s="10" t="n">
        <f aca="false">AY188+1/8</f>
        <v>24.375</v>
      </c>
      <c r="AZ189" s="17" t="n">
        <f aca="false">AZ188+1</f>
        <v>188</v>
      </c>
      <c r="BA189" s="32" t="n">
        <f aca="false">ATAN(0.99664719*TAN($A$4*input!$E$2))</f>
        <v>-0.400219206115995</v>
      </c>
      <c r="BB189" s="32" t="n">
        <f aca="false">COS(BA189)</f>
        <v>0.920975608992155</v>
      </c>
      <c r="BC189" s="32" t="n">
        <f aca="false">0.99664719*SIN(BA189)</f>
        <v>-0.388313912533463</v>
      </c>
      <c r="BD189" s="32" t="n">
        <f aca="false">6378.14/AX189</f>
        <v>0.0167442000632906</v>
      </c>
      <c r="BE189" s="33" t="n">
        <f aca="false">MOD(N189-15*AH189,360)</f>
        <v>330.849612030617</v>
      </c>
      <c r="BF189" s="27" t="n">
        <f aca="false">COS($A$4*AG189)*SIN($A$4*BE189)</f>
        <v>-0.48548224959855</v>
      </c>
      <c r="BG189" s="27" t="n">
        <f aca="false">COS($A$4*AG189)*COS($A$4*BE189)-BB189*BD189</f>
        <v>0.85501617775133</v>
      </c>
      <c r="BH189" s="27" t="n">
        <f aca="false">SIN($A$4*AG189)-BC189*BD189</f>
        <v>-0.0750216421015642</v>
      </c>
      <c r="BI189" s="46" t="n">
        <f aca="false">SQRT(BF189^2+BG189^2+BH189^2)</f>
        <v>0.986090221873931</v>
      </c>
      <c r="BJ189" s="35" t="n">
        <f aca="false">AX189*BI189</f>
        <v>375617.913305498</v>
      </c>
    </row>
    <row r="190" customFormat="false" ht="15" hidden="false" customHeight="false" outlineLevel="0" collapsed="false">
      <c r="A190" s="20"/>
      <c r="B190" s="20"/>
      <c r="C190" s="15" t="n">
        <f aca="false">MOD(C189+3,24)</f>
        <v>12</v>
      </c>
      <c r="D190" s="17" t="n">
        <v>24</v>
      </c>
      <c r="E190" s="102" t="n">
        <f aca="false">input!$C$2</f>
        <v>10</v>
      </c>
      <c r="F190" s="102" t="n">
        <f aca="false">input!$D$2</f>
        <v>2022</v>
      </c>
      <c r="H190" s="39" t="n">
        <f aca="false">AM190</f>
        <v>67.2052201868261</v>
      </c>
      <c r="I190" s="48" t="n">
        <f aca="false">H190+1.02/(TAN($A$4*(H190+10.3/(H190+5.11)))*60)</f>
        <v>67.2123148339398</v>
      </c>
      <c r="J190" s="39" t="n">
        <f aca="false">100*(1+COS($A$4*AQ190))/2</f>
        <v>1.13682371328467</v>
      </c>
      <c r="K190" s="48" t="n">
        <f aca="false">IF(AI190&gt;180,AT190-180,AT190+180)</f>
        <v>319.318866568755</v>
      </c>
      <c r="L190" s="10" t="n">
        <f aca="false">L189+1/8</f>
        <v>2459877</v>
      </c>
      <c r="M190" s="49" t="n">
        <f aca="false">(L190-2451545)/36525</f>
        <v>0.228117727583847</v>
      </c>
      <c r="N190" s="15" t="n">
        <f aca="false">MOD(280.46061837+360.98564736629*(L190-2451545)+0.000387933*M190^2-M190^3/38710000+$G$4,360)</f>
        <v>212.874494485091</v>
      </c>
      <c r="O190" s="18" t="n">
        <f aca="false">0.60643382+1336.85522467*M190 - 0.00000313*M190^2 - INT(0.60643382+1336.85522467*M190 - 0.00000313*M190^2)</f>
        <v>0.56680961743524</v>
      </c>
      <c r="P190" s="15" t="n">
        <f aca="false">22640*SIN(Q190)-4586*SIN(Q190-2*S190)+2370*SIN(2*S190)+769*SIN(2*Q190)-668*SIN(R190)-412*SIN(2*T190)-212*SIN(2*Q190-2*S190)-206*SIN(Q190+R190-2*S190)+192*SIN(Q190+2*S190)-165*SIN(R190-2*S190)-125*SIN(S190)-110*SIN(Q190+R190)+148*SIN(Q190-R190)-55*SIN(2*T190-2*S190)</f>
        <v>-18009.9384168294</v>
      </c>
      <c r="Q190" s="18" t="n">
        <f aca="false">2*PI()*(0.374897+1325.55241*M190 - INT(0.374897+1325.55241*M190))</f>
        <v>4.75574649324199</v>
      </c>
      <c r="R190" s="26" t="n">
        <f aca="false">2*PI()*(0.99312619+99.99735956*M190 - 0.00000044*M190^2 - INT(0.99312619+99.99735956*M190- 0.00000044*M190^2))</f>
        <v>5.0535445440175</v>
      </c>
      <c r="S190" s="26" t="n">
        <f aca="false">2*PI()*(0.827361+1236.853086*M190 - INT(0.827361+1236.853086*M190))</f>
        <v>6.12909856544545</v>
      </c>
      <c r="T190" s="26" t="n">
        <f aca="false">2*PI()*(0.259086+1342.227825*M190 - INT(0.259086+1342.227825*M190))</f>
        <v>2.79631490020438</v>
      </c>
      <c r="U190" s="26" t="n">
        <f aca="false">T190+(P190+412*SIN(2*T190)+541*SIN(R190))/206264.8062</f>
        <v>2.70525627509814</v>
      </c>
      <c r="V190" s="26" t="n">
        <f aca="false">T190-2*S190</f>
        <v>-9.46188223068651</v>
      </c>
      <c r="W190" s="25" t="n">
        <f aca="false">-526*SIN(V190)+44*SIN(Q190+V190)-31*SIN(-Q190+V190)-23*SIN(R190+V190)+11*SIN(-R190+V190)-25*SIN(-2*Q190+T190)+21*SIN(-Q190+T190)</f>
        <v>14.2521245508059</v>
      </c>
      <c r="X190" s="26" t="n">
        <f aca="false">2*PI()*(O190+P190/1296000-INT(O190+P190/1296000))</f>
        <v>3.47405521483299</v>
      </c>
      <c r="Y190" s="26" t="n">
        <f aca="false">(18520*SIN(U190)+W190)/206264.8062</f>
        <v>0.0380152616190425</v>
      </c>
      <c r="Z190" s="26" t="n">
        <f aca="false">Y190*180/PI()</f>
        <v>2.1781140478568</v>
      </c>
      <c r="AA190" s="26" t="n">
        <f aca="false">COS(Y190)*COS(X190)</f>
        <v>-0.944558569628139</v>
      </c>
      <c r="AB190" s="26" t="n">
        <f aca="false">COS(Y190)*SIN(X190)</f>
        <v>-0.326135929413701</v>
      </c>
      <c r="AC190" s="26" t="n">
        <f aca="false">SIN(Y190)</f>
        <v>0.0380061059239915</v>
      </c>
      <c r="AD190" s="26" t="n">
        <f aca="false">COS($A$4*(23.4393-46.815*M190/3600))*AB190-SIN($A$4*(23.4393-46.815*M190/3600))*AC190</f>
        <v>-0.3143467219579</v>
      </c>
      <c r="AE190" s="26" t="n">
        <f aca="false">SIN($A$4*(23.4393-46.815*M190/3600))*AB190+COS($A$4*(23.4393-46.815*M190/3600))*AC190</f>
        <v>-0.0948432756518204</v>
      </c>
      <c r="AF190" s="26" t="n">
        <f aca="false">SQRT(1-AE190*AE190)</f>
        <v>0.995492216475665</v>
      </c>
      <c r="AG190" s="10" t="n">
        <f aca="false">ATAN(AE190/AF190)/$A$4</f>
        <v>-5.44229943944979</v>
      </c>
      <c r="AH190" s="26" t="n">
        <f aca="false">IF(24*ATAN(AD190/(AA190+AF190))/PI()&gt;0,24*ATAN(AD190/(AA190+AF190))/PI(),24*ATAN(AD190/(AA190+AF190))/PI()+24)</f>
        <v>13.2271542014924</v>
      </c>
      <c r="AI190" s="10" t="n">
        <f aca="false">IF(N190-15*AH190&gt;0,N190-15*AH190,360+N190-15*AH190)</f>
        <v>14.4671814627048</v>
      </c>
      <c r="AJ190" s="18" t="n">
        <f aca="false">0.950724+0.051818*COS(Q190)+0.009531*COS(2*S190-Q190)+0.007843*COS(2*S190)+0.002824*COS(2*Q190)+0.000857*COS(2*S190+Q190)+0.000533*COS(2*S190-R190)+0.000401*COS(2*S190-R190-Q190)+0.00032*COS(Q190-R190)-0.000271*COS(S190)</f>
        <v>0.960739497566874</v>
      </c>
      <c r="AK190" s="50" t="n">
        <f aca="false">ASIN(COS($A$4*$G$2)*COS($A$4*AG190)*COS($A$4*AI190)+SIN($A$4*$G$2)*SIN($A$4*AG190))/$A$4</f>
        <v>67.571569244794</v>
      </c>
      <c r="AL190" s="18" t="n">
        <f aca="false">ASIN((0.9983271+0.0016764*COS($A$4*2*$G$2))*COS($A$4*AK190)*SIN($A$4*AJ190))/$A$4</f>
        <v>0.36634905796793</v>
      </c>
      <c r="AM190" s="18" t="n">
        <f aca="false">AK190-AL190</f>
        <v>67.2052201868261</v>
      </c>
      <c r="AN190" s="10" t="n">
        <f aca="false"> IF(280.4664567 + 360007.6982779*M190/10 + 0.03032028*M190^2/100 + M190^3/49931000&lt;0,MOD(280.4664567 + 360007.6982779*M190/10 + 0.03032028*M190^2/100 + M190^3/49931000+360,360),MOD(280.4664567 + 360007.6982779*M190/10 + 0.03032028*M190^2/100 + M190^3/49931000,360))</f>
        <v>212.880276862781</v>
      </c>
      <c r="AO190" s="27" t="n">
        <f aca="false"> AN190 + (1.9146 - 0.004817*M190 - 0.000014*M190^2)*SIN(R190)+ (0.019993 - 0.000101*M190)*SIN(2*R190)+ 0.00029*SIN(3*R190)</f>
        <v>211.064612100979</v>
      </c>
      <c r="AP190" s="18" t="n">
        <f aca="false">ACOS(COS(X190-$A$4*AO190)*COS(Y190))/$A$4</f>
        <v>12.2088706544289</v>
      </c>
      <c r="AQ190" s="25" t="n">
        <f aca="false">180 - AP190 -0.1468*(1-0.0549*SIN(R190))*SIN($A$4*AP190)/(1-0.0167*SIN($A$4*AO190))</f>
        <v>167.758757478887</v>
      </c>
      <c r="AR190" s="25" t="n">
        <f aca="false">SIN($A$4*AI190)</f>
        <v>0.249825416241521</v>
      </c>
      <c r="AS190" s="25" t="n">
        <f aca="false">COS($A$4*AI190)*SIN($A$4*$G$2) - TAN($A$4*AG190)*COS($A$4*$G$2)</f>
        <v>-0.290642371159092</v>
      </c>
      <c r="AT190" s="25" t="n">
        <f aca="false">IF(OR(AND(AR190*AS190&gt;0), AND(AR190&lt;0,AS190&gt;0)), MOD(ATAN2(AS190,AR190)/$A$4+360,360),  ATAN2(AS190,AR190)/$A$4)</f>
        <v>139.318866568755</v>
      </c>
      <c r="AU190" s="29" t="n">
        <f aca="false">(1+SIN($A$4*H190)*SIN($A$4*AJ190))*120*ASIN(0.272481*SIN($A$4*AJ190))/$A$4</f>
        <v>31.8981962474995</v>
      </c>
      <c r="AV190" s="10" t="n">
        <f aca="false">COS(X190)</f>
        <v>-0.945241500034783</v>
      </c>
      <c r="AW190" s="10" t="n">
        <f aca="false">SIN(X190)</f>
        <v>-0.326371730718202</v>
      </c>
      <c r="AX190" s="30" t="n">
        <f aca="false"> 385000.56 + (-20905355*COS(Q190) - 3699111*COS(2*S190-Q190) - 2955968*COS(2*S190) - 569925*COS(2*Q190) + (1-0.002516*M190)*48888*COS(R190) - 3149*COS(2*T190)  +246158*COS(2*S190-2*Q190) -(1-0.002516*M190)*152138*COS(2*S190-R190-Q190) -170733*COS(2*S190+Q190) -(1-0.002516*M190)*204586*COS(2*S190-R190) -(1-0.002516*M190)*129620*COS(R190-Q190)  + 108743*COS(S190) +(1-0.002516*M190)*104755*COS(R190+Q190) +10321*COS(2*S190-2*T190) +79661*COS(Q190-2*T190) -34782*COS(4*S190-Q190) -23210*COS(3*Q190)  -21636*COS(4*S190-2*Q190) +(1-0.002516*M190)*24208*COS(2*S190+R190-Q190) +(1-0.002516*M190)*30824*COS(2*S190+R190) -8379*COS(S190-Q190) -(1-0.002516*M190)*16675*COS(S190+R190)  -(1-0.002516*M190)*12831*COS(2*S190-R190+Q190) -10445*COS(2*S190+2*Q190) -11650*COS(4*S190) +14403*COS(2*S190-3*Q190) -(1-0.002516*M190)*7003*COS(R190-2*Q190)  + (1-0.002516*M190)*10056*COS(2*S190-R190-2*Q190) +6322*COS(S190+Q190) -(1-0.002516*M190)*(1-0.002516*M190)*9884*COS(2*S190-2*R190) +(1-0.002516*M190)*5751*COS(R190+2*Q190) -(1-0.002516*M190)*(1-0.002516*M190)*4950*COS(2*S190-2*R190-Q190)  +4130*COS(2*S190+Q190-2*T190) -(1-0.002516*M190)*3958*COS(4*S190-R190-Q190) +3258*COS(3*S190-Q190) +(1-0.002516*M190)*2616*COS(2*S190+R190+Q190) -(1-0.002516*M190)*1897*COS(4*S190-R190-2*Q190)  -(1-0.002516*M190)*(1-0.002516*M190)*2117*COS(2*R190-Q190) +(1-0.002516*M190)*(1-0.002516*M190)*2354*COS(2*S190+2*R190-Q190) -1423*COS(4*S190+Q190) -1117*COS(4*Q190) -(1-0.002516*M190)*1571*COS(4*S190-R190)  -1739*COS(S190-2*Q190) -4421*COS(2*Q190-2*T190) +(1-0.002516*M190)*(1-0.002516*M190)*1165*COS(2*R190+Q190) +8752*COS(2*S190-Q190-2*T190))/1000</f>
        <v>380353.823141406</v>
      </c>
      <c r="AY190" s="10" t="n">
        <f aca="false">AY189+1/8</f>
        <v>24.5</v>
      </c>
      <c r="AZ190" s="17" t="n">
        <f aca="false">AZ189+1</f>
        <v>189</v>
      </c>
      <c r="BA190" s="32" t="n">
        <f aca="false">ATAN(0.99664719*TAN($A$4*input!$E$2))</f>
        <v>-0.400219206115995</v>
      </c>
      <c r="BB190" s="32" t="n">
        <f aca="false">COS(BA190)</f>
        <v>0.920975608992155</v>
      </c>
      <c r="BC190" s="32" t="n">
        <f aca="false">0.99664719*SIN(BA190)</f>
        <v>-0.388313912533463</v>
      </c>
      <c r="BD190" s="32" t="n">
        <f aca="false">6378.14/AX190</f>
        <v>0.016768965137045</v>
      </c>
      <c r="BE190" s="33" t="n">
        <f aca="false">MOD(N190-15*AH190,360)</f>
        <v>14.4671814627048</v>
      </c>
      <c r="BF190" s="27" t="n">
        <f aca="false">COS($A$4*AG190)*SIN($A$4*BE190)</f>
        <v>0.248699257346227</v>
      </c>
      <c r="BG190" s="27" t="n">
        <f aca="false">COS($A$4*AG190)*COS($A$4*BE190)-BB190*BD190</f>
        <v>0.948482243464447</v>
      </c>
      <c r="BH190" s="27" t="n">
        <f aca="false">SIN($A$4*AG190)-BC190*BD190</f>
        <v>-0.0883316531903172</v>
      </c>
      <c r="BI190" s="46" t="n">
        <f aca="false">SQRT(BF190^2+BG190^2+BH190^2)</f>
        <v>0.984516311559768</v>
      </c>
      <c r="BJ190" s="35" t="n">
        <f aca="false">AX190*BI190</f>
        <v>374464.543046834</v>
      </c>
    </row>
    <row r="191" customFormat="false" ht="15" hidden="false" customHeight="false" outlineLevel="0" collapsed="false">
      <c r="A191" s="20"/>
      <c r="B191" s="20"/>
      <c r="C191" s="15" t="n">
        <f aca="false">MOD(C190+3,24)</f>
        <v>15</v>
      </c>
      <c r="D191" s="17" t="n">
        <v>24</v>
      </c>
      <c r="E191" s="102" t="n">
        <f aca="false">input!$C$2</f>
        <v>10</v>
      </c>
      <c r="F191" s="102" t="n">
        <f aca="false">input!$D$2</f>
        <v>2022</v>
      </c>
      <c r="H191" s="39" t="n">
        <f aca="false">AM191</f>
        <v>30.9278012201435</v>
      </c>
      <c r="I191" s="48" t="n">
        <f aca="false">H191+1.02/(TAN($A$4*(H191+10.3/(H191+5.11)))*60)</f>
        <v>30.9558565119722</v>
      </c>
      <c r="J191" s="39" t="n">
        <f aca="false">100*(1+COS($A$4*AQ191))/2</f>
        <v>0.865851056321132</v>
      </c>
      <c r="K191" s="48" t="n">
        <f aca="false">IF(AI191&gt;180,AT191-180,AT191+180)</f>
        <v>277.152048331191</v>
      </c>
      <c r="L191" s="10" t="n">
        <f aca="false">L190+1/8</f>
        <v>2459877.125</v>
      </c>
      <c r="M191" s="49" t="n">
        <f aca="false">(L191-2451545)/36525</f>
        <v>0.228121149897331</v>
      </c>
      <c r="N191" s="15" t="n">
        <f aca="false">MOD(280.46061837+360.98564736629*(L191-2451545)+0.000387933*M191^2-M191^3/38710000+$G$4,360)</f>
        <v>257.997700406704</v>
      </c>
      <c r="O191" s="18" t="n">
        <f aca="false">0.60643382+1336.85522467*M191 - 0.00000313*M191^2 - INT(0.60643382+1336.85522467*M191 - 0.00000313*M191^2)</f>
        <v>0.571384755091799</v>
      </c>
      <c r="P191" s="15" t="n">
        <f aca="false">22640*SIN(Q191)-4586*SIN(Q191-2*S191)+2370*SIN(2*S191)+769*SIN(2*Q191)-668*SIN(R191)-412*SIN(2*T191)-212*SIN(2*Q191-2*S191)-206*SIN(Q191+R191-2*S191)+192*SIN(Q191+2*S191)-165*SIN(R191-2*S191)-125*SIN(S191)-110*SIN(Q191+R191)+148*SIN(Q191-R191)-55*SIN(2*T191-2*S191)</f>
        <v>-17874.9090484031</v>
      </c>
      <c r="Q191" s="18" t="n">
        <f aca="false">2*PI()*(0.374897+1325.55241*M191 - INT(0.374897+1325.55241*M191))</f>
        <v>4.78424988621415</v>
      </c>
      <c r="R191" s="26" t="n">
        <f aca="false">2*PI()*(0.99312619+99.99735956*M191 - 0.00000044*M191^2 - INT(0.99312619+99.99735956*M191- 0.00000044*M191^2))</f>
        <v>5.05569479021558</v>
      </c>
      <c r="S191" s="26" t="n">
        <f aca="false">2*PI()*(0.827361+1236.853086*M191 - INT(0.827361+1236.853086*M191))</f>
        <v>6.15569465421037</v>
      </c>
      <c r="T191" s="26" t="n">
        <f aca="false">2*PI()*(0.259086+1342.227825*M191 - INT(0.259086+1342.227825*M191))</f>
        <v>2.82517686512214</v>
      </c>
      <c r="U191" s="26" t="n">
        <f aca="false">T191+(P191+412*SIN(2*T191)+541*SIN(R191))/206264.8062</f>
        <v>2.73486572685384</v>
      </c>
      <c r="V191" s="26" t="n">
        <f aca="false">T191-2*S191</f>
        <v>-9.4862124432986</v>
      </c>
      <c r="W191" s="25" t="n">
        <f aca="false">-526*SIN(V191)+44*SIN(Q191+V191)-31*SIN(-Q191+V191)-23*SIN(R191+V191)+11*SIN(-R191+V191)-25*SIN(-2*Q191+T191)+21*SIN(-Q191+T191)</f>
        <v>1.88977367191091</v>
      </c>
      <c r="X191" s="26" t="n">
        <f aca="false">2*PI()*(O191+P191/1296000-INT(O191+P191/1296000))</f>
        <v>3.50345629338665</v>
      </c>
      <c r="Y191" s="26" t="n">
        <f aca="false">(18520*SIN(U191)+W191)/206264.8062</f>
        <v>0.0355295787765292</v>
      </c>
      <c r="Z191" s="26" t="n">
        <f aca="false">Y191*180/PI()</f>
        <v>2.03569491177271</v>
      </c>
      <c r="AA191" s="26" t="n">
        <f aca="false">COS(Y191)*COS(X191)</f>
        <v>-0.934648448885195</v>
      </c>
      <c r="AB191" s="26" t="n">
        <f aca="false">COS(Y191)*SIN(X191)</f>
        <v>-0.353794371232389</v>
      </c>
      <c r="AC191" s="26" t="n">
        <f aca="false">SIN(Y191)</f>
        <v>0.0355221041153</v>
      </c>
      <c r="AD191" s="26" t="n">
        <f aca="false">COS($A$4*(23.4393-46.815*M191/3600))*AB191-SIN($A$4*(23.4393-46.815*M191/3600))*AC191</f>
        <v>-0.338735452625571</v>
      </c>
      <c r="AE191" s="26" t="n">
        <f aca="false">SIN($A$4*(23.4393-46.815*M191/3600))*AB191+COS($A$4*(23.4393-46.815*M191/3600))*AC191</f>
        <v>-0.108122939892741</v>
      </c>
      <c r="AF191" s="26" t="n">
        <f aca="false">SQRT(1-AE191*AE191)</f>
        <v>0.994137530661101</v>
      </c>
      <c r="AG191" s="10" t="n">
        <f aca="false">ATAN(AE191/AF191)/$A$4</f>
        <v>-6.20712256025569</v>
      </c>
      <c r="AH191" s="26" t="n">
        <f aca="false">IF(24*ATAN(AD191/(AA191+AF191))/PI()&gt;0,24*ATAN(AD191/(AA191+AF191))/PI(),24*ATAN(AD191/(AA191+AF191))/PI()+24)</f>
        <v>13.3281025349165</v>
      </c>
      <c r="AI191" s="10" t="n">
        <f aca="false">IF(N191-15*AH191&gt;0,N191-15*AH191,360+N191-15*AH191)</f>
        <v>58.0761623829571</v>
      </c>
      <c r="AJ191" s="18" t="n">
        <f aca="false">0.950724+0.051818*COS(Q191)+0.009531*COS(2*S191-Q191)+0.007843*COS(2*S191)+0.002824*COS(2*Q191)+0.000857*COS(2*S191+Q191)+0.000533*COS(2*S191-R191)+0.000401*COS(2*S191-R191-Q191)+0.00032*COS(Q191-R191)-0.000271*COS(S191)</f>
        <v>0.96216833523262</v>
      </c>
      <c r="AK191" s="50" t="n">
        <f aca="false">ASIN(COS($A$4*$G$2)*COS($A$4*AG191)*COS($A$4*AI191)+SIN($A$4*$G$2)*SIN($A$4*AG191))/$A$4</f>
        <v>31.7455954911509</v>
      </c>
      <c r="AL191" s="18" t="n">
        <f aca="false">ASIN((0.9983271+0.0016764*COS($A$4*2*$G$2))*COS($A$4*AK191)*SIN($A$4*AJ191))/$A$4</f>
        <v>0.817794271007403</v>
      </c>
      <c r="AM191" s="18" t="n">
        <f aca="false">AK191-AL191</f>
        <v>30.9278012201435</v>
      </c>
      <c r="AN191" s="10" t="n">
        <f aca="false"> IF(280.4664567 + 360007.6982779*M191/10 + 0.03032028*M191^2/100 + M191^3/49931000&lt;0,MOD(280.4664567 + 360007.6982779*M191/10 + 0.03032028*M191^2/100 + M191^3/49931000+360,360),MOD(280.4664567 + 360007.6982779*M191/10 + 0.03032028*M191^2/100 + M191^3/49931000,360))</f>
        <v>213.003482783266</v>
      </c>
      <c r="AO191" s="27" t="n">
        <f aca="false"> AN191 + (1.9146 - 0.004817*M191 - 0.000014*M191^2)*SIN(R191)+ (0.019993 - 0.000101*M191)*SIN(2*R191)+ 0.00029*SIN(3*R191)</f>
        <v>211.189130680545</v>
      </c>
      <c r="AP191" s="18" t="n">
        <f aca="false">ACOS(COS(X191-$A$4*AO191)*COS(Y191))/$A$4</f>
        <v>10.6500324463969</v>
      </c>
      <c r="AQ191" s="25" t="n">
        <f aca="false">180 - AP191 -0.1468*(1-0.0549*SIN(R191))*SIN($A$4*AP191)/(1-0.0167*SIN($A$4*AO191))</f>
        <v>169.321679619954</v>
      </c>
      <c r="AR191" s="25" t="n">
        <f aca="false">SIN($A$4*AI191)</f>
        <v>0.848751760083972</v>
      </c>
      <c r="AS191" s="25" t="n">
        <f aca="false">COS($A$4*AI191)*SIN($A$4*$G$2) - TAN($A$4*AG191)*COS($A$4*$G$2)</f>
        <v>-0.106500689494334</v>
      </c>
      <c r="AT191" s="25" t="n">
        <f aca="false">IF(OR(AND(AR191*AS191&gt;0), AND(AR191&lt;0,AS191&gt;0)), MOD(ATAN2(AS191,AR191)/$A$4+360,360),  ATAN2(AS191,AR191)/$A$4)</f>
        <v>97.152048331191</v>
      </c>
      <c r="AU191" s="29" t="n">
        <f aca="false">(1+SIN($A$4*H191)*SIN($A$4*AJ191))*120*ASIN(0.272481*SIN($A$4*AJ191))/$A$4</f>
        <v>31.7308513461839</v>
      </c>
      <c r="AV191" s="10" t="n">
        <f aca="false">COS(X191)</f>
        <v>-0.935238686521326</v>
      </c>
      <c r="AW191" s="10" t="n">
        <f aca="false">SIN(X191)</f>
        <v>-0.354017795080791</v>
      </c>
      <c r="AX191" s="30" t="n">
        <f aca="false"> 385000.56 + (-20905355*COS(Q191) - 3699111*COS(2*S191-Q191) - 2955968*COS(2*S191) - 569925*COS(2*Q191) + (1-0.002516*M191)*48888*COS(R191) - 3149*COS(2*T191)  +246158*COS(2*S191-2*Q191) -(1-0.002516*M191)*152138*COS(2*S191-R191-Q191) -170733*COS(2*S191+Q191) -(1-0.002516*M191)*204586*COS(2*S191-R191) -(1-0.002516*M191)*129620*COS(R191-Q191)  + 108743*COS(S191) +(1-0.002516*M191)*104755*COS(R191+Q191) +10321*COS(2*S191-2*T191) +79661*COS(Q191-2*T191) -34782*COS(4*S191-Q191) -23210*COS(3*Q191)  -21636*COS(4*S191-2*Q191) +(1-0.002516*M191)*24208*COS(2*S191+R191-Q191) +(1-0.002516*M191)*30824*COS(2*S191+R191) -8379*COS(S191-Q191) -(1-0.002516*M191)*16675*COS(S191+R191)  -(1-0.002516*M191)*12831*COS(2*S191-R191+Q191) -10445*COS(2*S191+2*Q191) -11650*COS(4*S191) +14403*COS(2*S191-3*Q191) -(1-0.002516*M191)*7003*COS(R191-2*Q191)  + (1-0.002516*M191)*10056*COS(2*S191-R191-2*Q191) +6322*COS(S191+Q191) -(1-0.002516*M191)*(1-0.002516*M191)*9884*COS(2*S191-2*R191) +(1-0.002516*M191)*5751*COS(R191+2*Q191) -(1-0.002516*M191)*(1-0.002516*M191)*4950*COS(2*S191-2*R191-Q191)  +4130*COS(2*S191+Q191-2*T191) -(1-0.002516*M191)*3958*COS(4*S191-R191-Q191) +3258*COS(3*S191-Q191) +(1-0.002516*M191)*2616*COS(2*S191+R191+Q191) -(1-0.002516*M191)*1897*COS(4*S191-R191-2*Q191)  -(1-0.002516*M191)*(1-0.002516*M191)*2117*COS(2*R191-Q191) +(1-0.002516*M191)*(1-0.002516*M191)*2354*COS(2*S191+2*R191-Q191) -1423*COS(4*S191+Q191) -1117*COS(4*Q191) -(1-0.002516*M191)*1571*COS(4*S191-R191)  -1739*COS(S191-2*Q191) -4421*COS(2*Q191-2*T191) +(1-0.002516*M191)*(1-0.002516*M191)*1165*COS(2*R191+Q191) +8752*COS(2*S191-Q191-2*T191))/1000</f>
        <v>379799.048204416</v>
      </c>
      <c r="AY191" s="10" t="n">
        <f aca="false">AY190+1/8</f>
        <v>24.625</v>
      </c>
      <c r="AZ191" s="17" t="n">
        <f aca="false">AZ190+1</f>
        <v>190</v>
      </c>
      <c r="BA191" s="32" t="n">
        <f aca="false">ATAN(0.99664719*TAN($A$4*input!$E$2))</f>
        <v>-0.400219206115995</v>
      </c>
      <c r="BB191" s="32" t="n">
        <f aca="false">COS(BA191)</f>
        <v>0.920975608992155</v>
      </c>
      <c r="BC191" s="32" t="n">
        <f aca="false">0.99664719*SIN(BA191)</f>
        <v>-0.388313912533463</v>
      </c>
      <c r="BD191" s="32" t="n">
        <f aca="false">6378.14/AX191</f>
        <v>0.0167934596733564</v>
      </c>
      <c r="BE191" s="33" t="n">
        <f aca="false">MOD(N191-15*AH191,360)</f>
        <v>58.0761623829571</v>
      </c>
      <c r="BF191" s="27" t="n">
        <f aca="false">COS($A$4*AG191)*SIN($A$4*BE191)</f>
        <v>0.843775978914143</v>
      </c>
      <c r="BG191" s="27" t="n">
        <f aca="false">COS($A$4*AG191)*COS($A$4*BE191)-BB191*BD191</f>
        <v>0.510225108620002</v>
      </c>
      <c r="BH191" s="27" t="n">
        <f aca="false">SIN($A$4*AG191)-BC191*BD191</f>
        <v>-0.101601805862007</v>
      </c>
      <c r="BI191" s="46" t="n">
        <f aca="false">SQRT(BF191^2+BG191^2+BH191^2)</f>
        <v>0.991267113856418</v>
      </c>
      <c r="BJ191" s="35" t="n">
        <f aca="false">AX191*BI191</f>
        <v>376482.306359006</v>
      </c>
    </row>
    <row r="192" customFormat="false" ht="15" hidden="false" customHeight="false" outlineLevel="0" collapsed="false">
      <c r="A192" s="20"/>
      <c r="B192" s="20"/>
      <c r="C192" s="15" t="n">
        <f aca="false">MOD(C191+3,24)</f>
        <v>18</v>
      </c>
      <c r="D192" s="17" t="n">
        <v>24</v>
      </c>
      <c r="E192" s="102" t="n">
        <f aca="false">input!$C$2</f>
        <v>10</v>
      </c>
      <c r="F192" s="102" t="n">
        <f aca="false">input!$D$2</f>
        <v>2022</v>
      </c>
      <c r="H192" s="39" t="n">
        <f aca="false">AM192</f>
        <v>-8.85702748206256</v>
      </c>
      <c r="I192" s="48" t="n">
        <f aca="false">H192+1.02/(TAN($A$4*(H192+10.3/(H192+5.11)))*60)</f>
        <v>-8.93980194726102</v>
      </c>
      <c r="J192" s="39" t="n">
        <f aca="false">100*(1+COS($A$4*AQ192))/2</f>
        <v>0.631020684492001</v>
      </c>
      <c r="K192" s="48" t="n">
        <f aca="false">IF(AI192&gt;180,AT192-180,AT192+180)</f>
        <v>258.929440580438</v>
      </c>
      <c r="L192" s="10" t="n">
        <f aca="false">L191+1/8</f>
        <v>2459877.25</v>
      </c>
      <c r="M192" s="49" t="n">
        <f aca="false">(L192-2451545)/36525</f>
        <v>0.228124572210815</v>
      </c>
      <c r="N192" s="15" t="n">
        <f aca="false">MOD(280.46061837+360.98564736629*(L192-2451545)+0.000387933*M192^2-M192^3/38710000+$G$4,360)</f>
        <v>303.120906327851</v>
      </c>
      <c r="O192" s="18" t="n">
        <f aca="false">0.60643382+1336.85522467*M192 - 0.00000313*M192^2 - INT(0.60643382+1336.85522467*M192 - 0.00000313*M192^2)</f>
        <v>0.575959892748301</v>
      </c>
      <c r="P192" s="15" t="n">
        <f aca="false">22640*SIN(Q192)-4586*SIN(Q192-2*S192)+2370*SIN(2*S192)+769*SIN(2*Q192)-668*SIN(R192)-412*SIN(2*T192)-212*SIN(2*Q192-2*S192)-206*SIN(Q192+R192-2*S192)+192*SIN(Q192+2*S192)-165*SIN(R192-2*S192)-125*SIN(S192)-110*SIN(Q192+R192)+148*SIN(Q192-R192)-55*SIN(2*T192-2*S192)</f>
        <v>-17722.1354815756</v>
      </c>
      <c r="Q192" s="18" t="n">
        <f aca="false">2*PI()*(0.374897+1325.55241*M192 - INT(0.374897+1325.55241*M192))</f>
        <v>4.81275327918594</v>
      </c>
      <c r="R192" s="26" t="n">
        <f aca="false">2*PI()*(0.99312619+99.99735956*M192 - 0.00000044*M192^2 - INT(0.99312619+99.99735956*M192- 0.00000044*M192^2))</f>
        <v>5.05784503641369</v>
      </c>
      <c r="S192" s="26" t="n">
        <f aca="false">2*PI()*(0.827361+1236.853086*M192 - INT(0.827361+1236.853086*M192))</f>
        <v>6.18229074297529</v>
      </c>
      <c r="T192" s="26" t="n">
        <f aca="false">2*PI()*(0.259086+1342.227825*M192 - INT(0.259086+1342.227825*M192))</f>
        <v>2.85403883003954</v>
      </c>
      <c r="U192" s="26" t="n">
        <f aca="false">T192+(P192+412*SIN(2*T192)+541*SIN(R192))/206264.8062</f>
        <v>2.76456515153072</v>
      </c>
      <c r="V192" s="26" t="n">
        <f aca="false">T192-2*S192</f>
        <v>-9.51054265591104</v>
      </c>
      <c r="W192" s="25" t="n">
        <f aca="false">-526*SIN(V192)+44*SIN(Q192+V192)-31*SIN(-Q192+V192)-23*SIN(R192+V192)+11*SIN(-R192+V192)-25*SIN(-2*Q192+T192)+21*SIN(-Q192+T192)</f>
        <v>-10.5308063993537</v>
      </c>
      <c r="X192" s="26" t="n">
        <f aca="false">2*PI()*(O192+P192/1296000-INT(O192+P192/1296000))</f>
        <v>3.53294339824141</v>
      </c>
      <c r="Y192" s="26" t="n">
        <f aca="false">(18520*SIN(U192)+W192)/206264.8062</f>
        <v>0.0330049635547537</v>
      </c>
      <c r="Z192" s="26" t="n">
        <f aca="false">Y192*180/PI()</f>
        <v>1.89104511467048</v>
      </c>
      <c r="AA192" s="26" t="n">
        <f aca="false">COS(Y192)*COS(X192)</f>
        <v>-0.923891240167778</v>
      </c>
      <c r="AB192" s="26" t="n">
        <f aca="false">COS(Y192)*SIN(X192)</f>
        <v>-0.381229647600284</v>
      </c>
      <c r="AC192" s="26" t="n">
        <f aca="false">SIN(Y192)</f>
        <v>0.0329989716780567</v>
      </c>
      <c r="AD192" s="26" t="n">
        <f aca="false">COS($A$4*(23.4393-46.815*M192/3600))*AB192-SIN($A$4*(23.4393-46.815*M192/3600))*AC192</f>
        <v>-0.362903865016917</v>
      </c>
      <c r="AE192" s="26" t="n">
        <f aca="false">SIN($A$4*(23.4393-46.815*M192/3600))*AB192+COS($A$4*(23.4393-46.815*M192/3600))*AC192</f>
        <v>-0.121349747000269</v>
      </c>
      <c r="AF192" s="26" t="n">
        <f aca="false">SQRT(1-AE192*AE192)</f>
        <v>0.992609812012238</v>
      </c>
      <c r="AG192" s="10" t="n">
        <f aca="false">ATAN(AE192/AF192)/$A$4</f>
        <v>-6.97000670887835</v>
      </c>
      <c r="AH192" s="26" t="n">
        <f aca="false">IF(24*ATAN(AD192/(AA192+AF192))/PI()&gt;0,24*ATAN(AD192/(AA192+AF192))/PI(),24*ATAN(AD192/(AA192+AF192))/PI()+24)</f>
        <v>13.4296577985459</v>
      </c>
      <c r="AI192" s="10" t="n">
        <f aca="false">IF(N192-15*AH192&gt;0,N192-15*AH192,360+N192-15*AH192)</f>
        <v>101.676039349662</v>
      </c>
      <c r="AJ192" s="18" t="n">
        <f aca="false">0.950724+0.051818*COS(Q192)+0.009531*COS(2*S192-Q192)+0.007843*COS(2*S192)+0.002824*COS(2*Q192)+0.000857*COS(2*S192+Q192)+0.000533*COS(2*S192-R192)+0.000401*COS(2*S192-R192-Q192)+0.00032*COS(Q192-R192)-0.000271*COS(S192)</f>
        <v>0.963580291859218</v>
      </c>
      <c r="AK192" s="50" t="n">
        <f aca="false">ASIN(COS($A$4*$G$2)*COS($A$4*AG192)*COS($A$4*AI192)+SIN($A$4*$G$2)*SIN($A$4*AG192))/$A$4</f>
        <v>-7.90308531974905</v>
      </c>
      <c r="AL192" s="18" t="n">
        <f aca="false">ASIN((0.9983271+0.0016764*COS($A$4*2*$G$2))*COS($A$4*AK192)*SIN($A$4*AJ192))/$A$4</f>
        <v>0.953942162313507</v>
      </c>
      <c r="AM192" s="18" t="n">
        <f aca="false">AK192-AL192</f>
        <v>-8.85702748206256</v>
      </c>
      <c r="AN192" s="10" t="n">
        <f aca="false"> IF(280.4664567 + 360007.6982779*M192/10 + 0.03032028*M192^2/100 + M192^3/49931000&lt;0,MOD(280.4664567 + 360007.6982779*M192/10 + 0.03032028*M192^2/100 + M192^3/49931000+360,360),MOD(280.4664567 + 360007.6982779*M192/10 + 0.03032028*M192^2/100 + M192^3/49931000,360))</f>
        <v>213.126688703753</v>
      </c>
      <c r="AO192" s="27" t="n">
        <f aca="false"> AN192 + (1.9146 - 0.004817*M192 - 0.000014*M192^2)*SIN(R192)+ (0.019993 - 0.000101*M192)*SIN(2*R192)+ 0.00029*SIN(3*R192)</f>
        <v>211.313657818923</v>
      </c>
      <c r="AP192" s="18" t="n">
        <f aca="false">ACOS(COS(X192-$A$4*AO192)*COS(Y192))/$A$4</f>
        <v>9.08821289160409</v>
      </c>
      <c r="AQ192" s="25" t="n">
        <f aca="false">180 - AP192 -0.1468*(1-0.0549*SIN(R192))*SIN($A$4*AP192)/(1-0.0167*SIN($A$4*AO192))</f>
        <v>170.887611353744</v>
      </c>
      <c r="AR192" s="25" t="n">
        <f aca="false">SIN($A$4*AI192)</f>
        <v>0.979307529066878</v>
      </c>
      <c r="AS192" s="25" t="n">
        <f aca="false">COS($A$4*AI192)*SIN($A$4*$G$2) - TAN($A$4*AG192)*COS($A$4*$G$2)</f>
        <v>0.191609979661822</v>
      </c>
      <c r="AT192" s="25" t="n">
        <f aca="false">IF(OR(AND(AR192*AS192&gt;0), AND(AR192&lt;0,AS192&gt;0)), MOD(ATAN2(AS192,AR192)/$A$4+360,360),  ATAN2(AS192,AR192)/$A$4)</f>
        <v>78.9294405804375</v>
      </c>
      <c r="AU192" s="29" t="n">
        <f aca="false">(1+SIN($A$4*H192)*SIN($A$4*AJ192))*120*ASIN(0.272481*SIN($A$4*AJ192))/$A$4</f>
        <v>31.4239270696311</v>
      </c>
      <c r="AV192" s="10" t="n">
        <f aca="false">COS(X192)</f>
        <v>-0.924394678791837</v>
      </c>
      <c r="AW192" s="10" t="n">
        <f aca="false">SIN(X192)</f>
        <v>-0.381437383880156</v>
      </c>
      <c r="AX192" s="30" t="n">
        <f aca="false"> 385000.56 + (-20905355*COS(Q192) - 3699111*COS(2*S192-Q192) - 2955968*COS(2*S192) - 569925*COS(2*Q192) + (1-0.002516*M192)*48888*COS(R192) - 3149*COS(2*T192)  +246158*COS(2*S192-2*Q192) -(1-0.002516*M192)*152138*COS(2*S192-R192-Q192) -170733*COS(2*S192+Q192) -(1-0.002516*M192)*204586*COS(2*S192-R192) -(1-0.002516*M192)*129620*COS(R192-Q192)  + 108743*COS(S192) +(1-0.002516*M192)*104755*COS(R192+Q192) +10321*COS(2*S192-2*T192) +79661*COS(Q192-2*T192) -34782*COS(4*S192-Q192) -23210*COS(3*Q192)  -21636*COS(4*S192-2*Q192) +(1-0.002516*M192)*24208*COS(2*S192+R192-Q192) +(1-0.002516*M192)*30824*COS(2*S192+R192) -8379*COS(S192-Q192) -(1-0.002516*M192)*16675*COS(S192+R192)  -(1-0.002516*M192)*12831*COS(2*S192-R192+Q192) -10445*COS(2*S192+2*Q192) -11650*COS(4*S192) +14403*COS(2*S192-3*Q192) -(1-0.002516*M192)*7003*COS(R192-2*Q192)  + (1-0.002516*M192)*10056*COS(2*S192-R192-2*Q192) +6322*COS(S192+Q192) -(1-0.002516*M192)*(1-0.002516*M192)*9884*COS(2*S192-2*R192) +(1-0.002516*M192)*5751*COS(R192+2*Q192) -(1-0.002516*M192)*(1-0.002516*M192)*4950*COS(2*S192-2*R192-Q192)  +4130*COS(2*S192+Q192-2*T192) -(1-0.002516*M192)*3958*COS(4*S192-R192-Q192) +3258*COS(3*S192-Q192) +(1-0.002516*M192)*2616*COS(2*S192+R192+Q192) -(1-0.002516*M192)*1897*COS(4*S192-R192-2*Q192)  -(1-0.002516*M192)*(1-0.002516*M192)*2117*COS(2*R192-Q192) +(1-0.002516*M192)*(1-0.002516*M192)*2354*COS(2*S192+2*R192-Q192) -1423*COS(4*S192+Q192) -1117*COS(4*Q192) -(1-0.002516*M192)*1571*COS(4*S192-R192)  -1739*COS(S192-2*Q192) -4421*COS(2*Q192-2*T192) +(1-0.002516*M192)*(1-0.002516*M192)*1165*COS(2*R192+Q192) +8752*COS(2*S192-Q192-2*T192))/1000</f>
        <v>379252.661116713</v>
      </c>
      <c r="AY192" s="10" t="n">
        <f aca="false">AY191+1/8</f>
        <v>24.75</v>
      </c>
      <c r="AZ192" s="17" t="n">
        <f aca="false">AZ191+1</f>
        <v>191</v>
      </c>
      <c r="BA192" s="32" t="n">
        <f aca="false">ATAN(0.99664719*TAN($A$4*input!$E$2))</f>
        <v>-0.400219206115995</v>
      </c>
      <c r="BB192" s="32" t="n">
        <f aca="false">COS(BA192)</f>
        <v>0.920975608992155</v>
      </c>
      <c r="BC192" s="32" t="n">
        <f aca="false">0.99664719*SIN(BA192)</f>
        <v>-0.388313912533463</v>
      </c>
      <c r="BD192" s="32" t="n">
        <f aca="false">6378.14/AX192</f>
        <v>0.0168176539123536</v>
      </c>
      <c r="BE192" s="33" t="n">
        <f aca="false">MOD(N192-15*AH192,360)</f>
        <v>101.676039349662</v>
      </c>
      <c r="BF192" s="27" t="n">
        <f aca="false">COS($A$4*AG192)*SIN($A$4*BE192)</f>
        <v>0.972070262329243</v>
      </c>
      <c r="BG192" s="27" t="n">
        <f aca="false">COS($A$4*AG192)*COS($A$4*BE192)-BB192*BD192</f>
        <v>-0.216370813513732</v>
      </c>
      <c r="BH192" s="27" t="n">
        <f aca="false">SIN($A$4*AG192)-BC192*BD192</f>
        <v>-0.114819218009929</v>
      </c>
      <c r="BI192" s="46" t="n">
        <f aca="false">SQRT(BF192^2+BG192^2+BH192^2)</f>
        <v>1.00245716949396</v>
      </c>
      <c r="BJ192" s="35" t="n">
        <f aca="false">AX192*BI192</f>
        <v>380184.549186113</v>
      </c>
    </row>
    <row r="193" customFormat="false" ht="15" hidden="false" customHeight="false" outlineLevel="0" collapsed="false">
      <c r="A193" s="20"/>
      <c r="B193" s="20"/>
      <c r="C193" s="15" t="n">
        <f aca="false">MOD(C192+3,24)</f>
        <v>21</v>
      </c>
      <c r="D193" s="17" t="n">
        <v>24</v>
      </c>
      <c r="E193" s="102" t="n">
        <f aca="false">input!$C$2</f>
        <v>10</v>
      </c>
      <c r="F193" s="102" t="n">
        <f aca="false">input!$D$2</f>
        <v>2022</v>
      </c>
      <c r="H193" s="39" t="n">
        <f aca="false">AM193</f>
        <v>-44.8821037766343</v>
      </c>
      <c r="I193" s="48" t="n">
        <f aca="false">H193+1.02/(TAN($A$4*(H193+10.3/(H193+5.11)))*60)</f>
        <v>-44.8990202639774</v>
      </c>
      <c r="J193" s="39" t="n">
        <f aca="false">100*(1+COS($A$4*AQ193))/2</f>
        <v>0.43289265627634</v>
      </c>
      <c r="K193" s="48" t="n">
        <f aca="false">IF(AI193&gt;180,AT193-180,AT193+180)</f>
        <v>231.943095163999</v>
      </c>
      <c r="L193" s="10" t="n">
        <f aca="false">L192+1/8</f>
        <v>2459877.375</v>
      </c>
      <c r="M193" s="49" t="n">
        <f aca="false">(L193-2451545)/36525</f>
        <v>0.228127994524298</v>
      </c>
      <c r="N193" s="15" t="n">
        <f aca="false">MOD(280.46061837+360.98564736629*(L193-2451545)+0.000387933*M193^2-M193^3/38710000+$G$4,360)</f>
        <v>348.244112248998</v>
      </c>
      <c r="O193" s="18" t="n">
        <f aca="false">0.60643382+1336.85522467*M193 - 0.00000313*M193^2 - INT(0.60643382+1336.85522467*M193 - 0.00000313*M193^2)</f>
        <v>0.58053503040486</v>
      </c>
      <c r="P193" s="15" t="n">
        <f aca="false">22640*SIN(Q193)-4586*SIN(Q193-2*S193)+2370*SIN(2*S193)+769*SIN(2*Q193)-668*SIN(R193)-412*SIN(2*T193)-212*SIN(2*Q193-2*S193)-206*SIN(Q193+R193-2*S193)+192*SIN(Q193+2*S193)-165*SIN(R193-2*S193)-125*SIN(S193)-110*SIN(Q193+R193)+148*SIN(Q193-R193)-55*SIN(2*T193-2*S193)</f>
        <v>-17551.8243153615</v>
      </c>
      <c r="Q193" s="18" t="n">
        <f aca="false">2*PI()*(0.374897+1325.55241*M193 - INT(0.374897+1325.55241*M193))</f>
        <v>4.8412566721581</v>
      </c>
      <c r="R193" s="26" t="n">
        <f aca="false">2*PI()*(0.99312619+99.99735956*M193 - 0.00000044*M193^2 - INT(0.99312619+99.99735956*M193- 0.00000044*M193^2))</f>
        <v>5.05999528261179</v>
      </c>
      <c r="S193" s="26" t="n">
        <f aca="false">2*PI()*(0.827361+1236.853086*M193 - INT(0.827361+1236.853086*M193))</f>
        <v>6.20888683174021</v>
      </c>
      <c r="T193" s="26" t="n">
        <f aca="false">2*PI()*(0.259086+1342.227825*M193 - INT(0.259086+1342.227825*M193))</f>
        <v>2.8829007949573</v>
      </c>
      <c r="U193" s="26" t="n">
        <f aca="false">T193+(P193+412*SIN(2*T193)+541*SIN(R193))/206264.8062</f>
        <v>2.79435323141459</v>
      </c>
      <c r="V193" s="26" t="n">
        <f aca="false">T193-2*S193</f>
        <v>-9.53487286852313</v>
      </c>
      <c r="W193" s="25" t="n">
        <f aca="false">-526*SIN(V193)+44*SIN(Q193+V193)-31*SIN(-Q193+V193)-23*SIN(R193+V193)+11*SIN(-R193+V193)-25*SIN(-2*Q193+T193)+21*SIN(-Q193+T193)</f>
        <v>-23.0018457370274</v>
      </c>
      <c r="X193" s="26" t="n">
        <f aca="false">2*PI()*(O193+P193/1296000-INT(O193+P193/1296000))</f>
        <v>3.56251552777769</v>
      </c>
      <c r="Y193" s="26" t="n">
        <f aca="false">(18520*SIN(U193)+W193)/206264.8062</f>
        <v>0.0304434636748456</v>
      </c>
      <c r="Z193" s="26" t="n">
        <f aca="false">Y193*180/PI()</f>
        <v>1.74428198232848</v>
      </c>
      <c r="AA193" s="26" t="n">
        <f aca="false">COS(Y193)*COS(X193)</f>
        <v>-0.912289319699844</v>
      </c>
      <c r="AB193" s="26" t="n">
        <f aca="false">COS(Y193)*SIN(X193)</f>
        <v>-0.408413612613337</v>
      </c>
      <c r="AC193" s="26" t="n">
        <f aca="false">SIN(Y193)</f>
        <v>0.0304387613696673</v>
      </c>
      <c r="AD193" s="26" t="n">
        <f aca="false">COS($A$4*(23.4393-46.815*M193/3600))*AB193-SIN($A$4*(23.4393-46.815*M193/3600))*AC193</f>
        <v>-0.386826951634591</v>
      </c>
      <c r="AE193" s="26" t="n">
        <f aca="false">SIN($A$4*(23.4393-46.815*M193/3600))*AB193+COS($A$4*(23.4393-46.815*M193/3600))*AC193</f>
        <v>-0.134510619100078</v>
      </c>
      <c r="AF193" s="26" t="n">
        <f aca="false">SQRT(1-AE193*AE193)</f>
        <v>0.990912152185709</v>
      </c>
      <c r="AG193" s="10" t="n">
        <f aca="false">ATAN(AE193/AF193)/$A$4</f>
        <v>-7.73032232339684</v>
      </c>
      <c r="AH193" s="26" t="n">
        <f aca="false">IF(24*ATAN(AD193/(AA193+AF193))/PI()&gt;0,24*ATAN(AD193/(AA193+AF193))/PI(),24*ATAN(AD193/(AA193+AF193))/PI()+24)</f>
        <v>13.5318540769514</v>
      </c>
      <c r="AI193" s="10" t="n">
        <f aca="false">IF(N193-15*AH193&gt;0,N193-15*AH193,360+N193-15*AH193)</f>
        <v>145.266301094727</v>
      </c>
      <c r="AJ193" s="18" t="n">
        <f aca="false">0.950724+0.051818*COS(Q193)+0.009531*COS(2*S193-Q193)+0.007843*COS(2*S193)+0.002824*COS(2*Q193)+0.000857*COS(2*S193+Q193)+0.000533*COS(2*S193-R193)+0.000401*COS(2*S193-R193-Q193)+0.00032*COS(Q193-R193)-0.000271*COS(S193)</f>
        <v>0.964973550924866</v>
      </c>
      <c r="AK193" s="50" t="n">
        <f aca="false">ASIN(COS($A$4*$G$2)*COS($A$4*AG193)*COS($A$4*AI193)+SIN($A$4*$G$2)*SIN($A$4*AG193))/$A$4</f>
        <v>-44.1905608328095</v>
      </c>
      <c r="AL193" s="18" t="n">
        <f aca="false">ASIN((0.9983271+0.0016764*COS($A$4*2*$G$2))*COS($A$4*AK193)*SIN($A$4*AJ193))/$A$4</f>
        <v>0.691542943824759</v>
      </c>
      <c r="AM193" s="18" t="n">
        <f aca="false">AK193-AL193</f>
        <v>-44.8821037766343</v>
      </c>
      <c r="AN193" s="10" t="n">
        <f aca="false"> IF(280.4664567 + 360007.6982779*M193/10 + 0.03032028*M193^2/100 + M193^3/49931000&lt;0,MOD(280.4664567 + 360007.6982779*M193/10 + 0.03032028*M193^2/100 + M193^3/49931000+360,360),MOD(280.4664567 + 360007.6982779*M193/10 + 0.03032028*M193^2/100 + M193^3/49931000,360))</f>
        <v>213.249894624241</v>
      </c>
      <c r="AO193" s="27" t="n">
        <f aca="false"> AN193 + (1.9146 - 0.004817*M193 - 0.000014*M193^2)*SIN(R193)+ (0.019993 - 0.000101*M193)*SIN(2*R193)+ 0.00029*SIN(3*R193)</f>
        <v>211.438193510981</v>
      </c>
      <c r="AP193" s="18" t="n">
        <f aca="false">ACOS(COS(X193-$A$4*AO193)*COS(Y193))/$A$4</f>
        <v>7.52491136094181</v>
      </c>
      <c r="AQ193" s="25" t="n">
        <f aca="false">180 - AP193 -0.1468*(1-0.0549*SIN(R193))*SIN($A$4*AP193)/(1-0.0167*SIN($A$4*AO193))</f>
        <v>172.455046388498</v>
      </c>
      <c r="AR193" s="25" t="n">
        <f aca="false">SIN($A$4*AI193)</f>
        <v>0.569762974588476</v>
      </c>
      <c r="AS193" s="25" t="n">
        <f aca="false">COS($A$4*AI193)*SIN($A$4*$G$2) - TAN($A$4*AG193)*COS($A$4*$G$2)</f>
        <v>0.446059620267024</v>
      </c>
      <c r="AT193" s="25" t="n">
        <f aca="false">IF(OR(AND(AR193*AS193&gt;0), AND(AR193&lt;0,AS193&gt;0)), MOD(ATAN2(AS193,AR193)/$A$4+360,360),  ATAN2(AS193,AR193)/$A$4)</f>
        <v>51.9430951639994</v>
      </c>
      <c r="AU193" s="29" t="n">
        <f aca="false">(1+SIN($A$4*H193)*SIN($A$4*AJ193))*120*ASIN(0.272481*SIN($A$4*AJ193))/$A$4</f>
        <v>31.1761021082995</v>
      </c>
      <c r="AV193" s="10" t="n">
        <f aca="false">COS(X193)</f>
        <v>-0.91271223993133</v>
      </c>
      <c r="AW193" s="10" t="n">
        <f aca="false">SIN(X193)</f>
        <v>-0.408602945510105</v>
      </c>
      <c r="AX193" s="30" t="n">
        <f aca="false"> 385000.56 + (-20905355*COS(Q193) - 3699111*COS(2*S193-Q193) - 2955968*COS(2*S193) - 569925*COS(2*Q193) + (1-0.002516*M193)*48888*COS(R193) - 3149*COS(2*T193)  +246158*COS(2*S193-2*Q193) -(1-0.002516*M193)*152138*COS(2*S193-R193-Q193) -170733*COS(2*S193+Q193) -(1-0.002516*M193)*204586*COS(2*S193-R193) -(1-0.002516*M193)*129620*COS(R193-Q193)  + 108743*COS(S193) +(1-0.002516*M193)*104755*COS(R193+Q193) +10321*COS(2*S193-2*T193) +79661*COS(Q193-2*T193) -34782*COS(4*S193-Q193) -23210*COS(3*Q193)  -21636*COS(4*S193-2*Q193) +(1-0.002516*M193)*24208*COS(2*S193+R193-Q193) +(1-0.002516*M193)*30824*COS(2*S193+R193) -8379*COS(S193-Q193) -(1-0.002516*M193)*16675*COS(S193+R193)  -(1-0.002516*M193)*12831*COS(2*S193-R193+Q193) -10445*COS(2*S193+2*Q193) -11650*COS(4*S193) +14403*COS(2*S193-3*Q193) -(1-0.002516*M193)*7003*COS(R193-2*Q193)  + (1-0.002516*M193)*10056*COS(2*S193-R193-2*Q193) +6322*COS(S193+Q193) -(1-0.002516*M193)*(1-0.002516*M193)*9884*COS(2*S193-2*R193) +(1-0.002516*M193)*5751*COS(R193+2*Q193) -(1-0.002516*M193)*(1-0.002516*M193)*4950*COS(2*S193-2*R193-Q193)  +4130*COS(2*S193+Q193-2*T193) -(1-0.002516*M193)*3958*COS(4*S193-R193-Q193) +3258*COS(3*S193-Q193) +(1-0.002516*M193)*2616*COS(2*S193+R193+Q193) -(1-0.002516*M193)*1897*COS(4*S193-R193-2*Q193)  -(1-0.002516*M193)*(1-0.002516*M193)*2117*COS(2*R193-Q193) +(1-0.002516*M193)*(1-0.002516*M193)*2354*COS(2*S193+2*R193-Q193) -1423*COS(4*S193+Q193) -1117*COS(4*Q193) -(1-0.002516*M193)*1571*COS(4*S193-R193)  -1739*COS(S193-2*Q193) -4421*COS(2*Q193-2*T193) +(1-0.002516*M193)*(1-0.002516*M193)*1165*COS(2*R193+Q193) +8752*COS(2*S193-Q193-2*T193))/1000</f>
        <v>378715.253750488</v>
      </c>
      <c r="AY193" s="10" t="n">
        <f aca="false">AY192+1/8</f>
        <v>24.875</v>
      </c>
      <c r="AZ193" s="17" t="n">
        <f aca="false">AZ192+1</f>
        <v>192</v>
      </c>
      <c r="BA193" s="32" t="n">
        <f aca="false">ATAN(0.99664719*TAN($A$4*input!$E$2))</f>
        <v>-0.400219206115995</v>
      </c>
      <c r="BB193" s="32" t="n">
        <f aca="false">COS(BA193)</f>
        <v>0.920975608992155</v>
      </c>
      <c r="BC193" s="32" t="n">
        <f aca="false">0.99664719*SIN(BA193)</f>
        <v>-0.388313912533463</v>
      </c>
      <c r="BD193" s="32" t="n">
        <f aca="false">6378.14/AX193</f>
        <v>0.0168415186260286</v>
      </c>
      <c r="BE193" s="33" t="n">
        <f aca="false">MOD(N193-15*AH193,360)</f>
        <v>145.266301094727</v>
      </c>
      <c r="BF193" s="27" t="n">
        <f aca="false">COS($A$4*AG193)*SIN($A$4*BE193)</f>
        <v>0.564585055385198</v>
      </c>
      <c r="BG193" s="27" t="n">
        <f aca="false">COS($A$4*AG193)*COS($A$4*BE193)-BB193*BD193</f>
        <v>-0.829851225279847</v>
      </c>
      <c r="BH193" s="27" t="n">
        <f aca="false">SIN($A$4*AG193)-BC193*BD193</f>
        <v>-0.127970823109399</v>
      </c>
      <c r="BI193" s="46" t="n">
        <f aca="false">SQRT(BF193^2+BG193^2+BH193^2)</f>
        <v>1.01182304402997</v>
      </c>
      <c r="BJ193" s="35" t="n">
        <f aca="false">AX193*BI193</f>
        <v>383192.8208704</v>
      </c>
    </row>
    <row r="194" customFormat="false" ht="15" hidden="false" customHeight="false" outlineLevel="0" collapsed="false">
      <c r="A194" s="20"/>
      <c r="B194" s="20"/>
      <c r="C194" s="15" t="n">
        <f aca="false">MOD(C193+3,24)</f>
        <v>0</v>
      </c>
      <c r="D194" s="36" t="n">
        <v>25</v>
      </c>
      <c r="E194" s="102" t="n">
        <f aca="false">input!$C$2</f>
        <v>10</v>
      </c>
      <c r="F194" s="102" t="n">
        <f aca="false">input!$D$2</f>
        <v>2022</v>
      </c>
      <c r="H194" s="39" t="n">
        <f aca="false">AM194</f>
        <v>-57.8650549370525</v>
      </c>
      <c r="I194" s="48" t="n">
        <f aca="false">H194+1.02/(TAN($A$4*(H194+10.3/(H194+5.11)))*60)</f>
        <v>-57.8756528563911</v>
      </c>
      <c r="J194" s="39" t="n">
        <f aca="false">100*(1+COS($A$4*AQ194))/2</f>
        <v>0.271996628572824</v>
      </c>
      <c r="K194" s="48" t="n">
        <f aca="false">IF(AI194&gt;180,AT194-180,AT194+180)</f>
        <v>163.627400122588</v>
      </c>
      <c r="L194" s="10" t="n">
        <f aca="false">L193+1/8</f>
        <v>2459877.5</v>
      </c>
      <c r="M194" s="49" t="n">
        <f aca="false">(L194-2451545)/36525</f>
        <v>0.228131416837782</v>
      </c>
      <c r="N194" s="15" t="n">
        <f aca="false">MOD(280.46061837+360.98564736629*(L194-2451545)+0.000387933*M194^2-M194^3/38710000+$G$4,360)</f>
        <v>33.3673181706108</v>
      </c>
      <c r="O194" s="18" t="n">
        <f aca="false">0.60643382+1336.85522467*M194 - 0.00000313*M194^2 - INT(0.60643382+1336.85522467*M194 - 0.00000313*M194^2)</f>
        <v>0.585110168061419</v>
      </c>
      <c r="P194" s="15" t="n">
        <f aca="false">22640*SIN(Q194)-4586*SIN(Q194-2*S194)+2370*SIN(2*S194)+769*SIN(2*Q194)-668*SIN(R194)-412*SIN(2*T194)-212*SIN(2*Q194-2*S194)-206*SIN(Q194+R194-2*S194)+192*SIN(Q194+2*S194)-165*SIN(R194-2*S194)-125*SIN(S194)-110*SIN(Q194+R194)+148*SIN(Q194-R194)-55*SIN(2*T194-2*S194)</f>
        <v>-17364.2058017014</v>
      </c>
      <c r="Q194" s="18" t="n">
        <f aca="false">2*PI()*(0.374897+1325.55241*M194 - INT(0.374897+1325.55241*M194))</f>
        <v>4.8697600651299</v>
      </c>
      <c r="R194" s="26" t="n">
        <f aca="false">2*PI()*(0.99312619+99.99735956*M194 - 0.00000044*M194^2 - INT(0.99312619+99.99735956*M194- 0.00000044*M194^2))</f>
        <v>5.06214552880987</v>
      </c>
      <c r="S194" s="26" t="n">
        <f aca="false">2*PI()*(0.827361+1236.853086*M194 - INT(0.827361+1236.853086*M194))</f>
        <v>6.23548292050514</v>
      </c>
      <c r="T194" s="26" t="n">
        <f aca="false">2*PI()*(0.259086+1342.227825*M194 - INT(0.259086+1342.227825*M194))</f>
        <v>2.91176275987506</v>
      </c>
      <c r="U194" s="26" t="n">
        <f aca="false">T194+(P194+412*SIN(2*T194)+541*SIN(R194))/206264.8062</f>
        <v>2.82422852206182</v>
      </c>
      <c r="V194" s="26" t="n">
        <f aca="false">T194-2*S194</f>
        <v>-9.55920308113521</v>
      </c>
      <c r="W194" s="25" t="n">
        <f aca="false">-526*SIN(V194)+44*SIN(Q194+V194)-31*SIN(-Q194+V194)-23*SIN(R194+V194)+11*SIN(-R194+V194)-25*SIN(-2*Q194+T194)+21*SIN(-Q194+T194)</f>
        <v>-35.5153558587991</v>
      </c>
      <c r="X194" s="26" t="n">
        <f aca="false">2*PI()*(O194+P194/1296000-INT(O194+P194/1296000))</f>
        <v>3.59217156570222</v>
      </c>
      <c r="Y194" s="26" t="n">
        <f aca="false">(18520*SIN(U194)+W194)/206264.8062</f>
        <v>0.0278472082670467</v>
      </c>
      <c r="Z194" s="26" t="n">
        <f aca="false">Y194*180/PI()</f>
        <v>1.59552750492359</v>
      </c>
      <c r="AA194" s="26" t="n">
        <f aca="false">COS(Y194)*COS(X194)</f>
        <v>-0.899846131400036</v>
      </c>
      <c r="AB194" s="26" t="n">
        <f aca="false">COS(Y194)*SIN(X194)</f>
        <v>-0.435317899040563</v>
      </c>
      <c r="AC194" s="26" t="n">
        <f aca="false">SIN(Y194)</f>
        <v>0.027843609308046</v>
      </c>
      <c r="AD194" s="26" t="n">
        <f aca="false">COS($A$4*(23.4393-46.815*M194/3600))*AB194-SIN($A$4*(23.4393-46.815*M194/3600))*AC194</f>
        <v>-0.410479535068127</v>
      </c>
      <c r="AE194" s="26" t="n">
        <f aca="false">SIN($A$4*(23.4393-46.815*M194/3600))*AB194+COS($A$4*(23.4393-46.815*M194/3600))*AC194</f>
        <v>-0.147592313806119</v>
      </c>
      <c r="AF194" s="26" t="n">
        <f aca="false">SQRT(1-AE194*AE194)</f>
        <v>0.989048284415557</v>
      </c>
      <c r="AG194" s="10" t="n">
        <f aca="false">ATAN(AE194/AF194)/$A$4</f>
        <v>-8.4874232993468</v>
      </c>
      <c r="AH194" s="26" t="n">
        <f aca="false">IF(24*ATAN(AD194/(AA194+AF194))/PI()&gt;0,24*ATAN(AD194/(AA194+AF194))/PI(),24*ATAN(AD194/(AA194+AF194))/PI()+24)</f>
        <v>13.6347250846729</v>
      </c>
      <c r="AI194" s="10" t="n">
        <f aca="false">IF(N194-15*AH194&gt;0,N194-15*AH194,360+N194-15*AH194)</f>
        <v>188.846441900517</v>
      </c>
      <c r="AJ194" s="18" t="n">
        <f aca="false">0.950724+0.051818*COS(Q194)+0.009531*COS(2*S194-Q194)+0.007843*COS(2*S194)+0.002824*COS(2*Q194)+0.000857*COS(2*S194+Q194)+0.000533*COS(2*S194-R194)+0.000401*COS(2*S194-R194-Q194)+0.00032*COS(Q194-R194)-0.000271*COS(S194)</f>
        <v>0.966346330615701</v>
      </c>
      <c r="AK194" s="50" t="n">
        <f aca="false">ASIN(COS($A$4*$G$2)*COS($A$4*AG194)*COS($A$4*AI194)+SIN($A$4*$G$2)*SIN($A$4*AG194))/$A$4</f>
        <v>-57.3439015341402</v>
      </c>
      <c r="AL194" s="18" t="n">
        <f aca="false">ASIN((0.9983271+0.0016764*COS($A$4*2*$G$2))*COS($A$4*AK194)*SIN($A$4*AJ194))/$A$4</f>
        <v>0.521153402912297</v>
      </c>
      <c r="AM194" s="18" t="n">
        <f aca="false">AK194-AL194</f>
        <v>-57.8650549370525</v>
      </c>
      <c r="AN194" s="10" t="n">
        <f aca="false"> IF(280.4664567 + 360007.6982779*M194/10 + 0.03032028*M194^2/100 + M194^3/49931000&lt;0,MOD(280.4664567 + 360007.6982779*M194/10 + 0.03032028*M194^2/100 + M194^3/49931000+360,360),MOD(280.4664567 + 360007.6982779*M194/10 + 0.03032028*M194^2/100 + M194^3/49931000,360))</f>
        <v>213.373100544726</v>
      </c>
      <c r="AO194" s="27" t="n">
        <f aca="false"> AN194 + (1.9146 - 0.004817*M194 - 0.000014*M194^2)*SIN(R194)+ (0.019993 - 0.000101*M194)*SIN(2*R194)+ 0.00029*SIN(3*R194)</f>
        <v>211.562737751543</v>
      </c>
      <c r="AP194" s="18" t="n">
        <f aca="false">ACOS(COS(X194-$A$4*AO194)*COS(Y194))/$A$4</f>
        <v>5.96314159262983</v>
      </c>
      <c r="AQ194" s="25" t="n">
        <f aca="false">180 - AP194 -0.1468*(1-0.0549*SIN(R194))*SIN($A$4*AP194)/(1-0.0167*SIN($A$4*AO194))</f>
        <v>174.020959944412</v>
      </c>
      <c r="AR194" s="25" t="n">
        <f aca="false">SIN($A$4*AI194)</f>
        <v>-0.153786808363208</v>
      </c>
      <c r="AS194" s="25" t="n">
        <f aca="false">COS($A$4*AI194)*SIN($A$4*$G$2) - TAN($A$4*AG194)*COS($A$4*$G$2)</f>
        <v>0.523446821877554</v>
      </c>
      <c r="AT194" s="25" t="n">
        <f aca="false">IF(OR(AND(AR194*AS194&gt;0), AND(AR194&lt;0,AS194&gt;0)), MOD(ATAN2(AS194,AR194)/$A$4+360,360),  ATAN2(AS194,AR194)/$A$4)</f>
        <v>343.627400122588</v>
      </c>
      <c r="AU194" s="29" t="n">
        <f aca="false">(1+SIN($A$4*H194)*SIN($A$4*AJ194))*120*ASIN(0.272481*SIN($A$4*AJ194))/$A$4</f>
        <v>31.144702373943</v>
      </c>
      <c r="AV194" s="10" t="n">
        <f aca="false">COS(X194)</f>
        <v>-0.900195144662984</v>
      </c>
      <c r="AW194" s="10" t="n">
        <f aca="false">SIN(X194)</f>
        <v>-0.435486740929262</v>
      </c>
      <c r="AX194" s="30" t="n">
        <f aca="false"> 385000.56 + (-20905355*COS(Q194) - 3699111*COS(2*S194-Q194) - 2955968*COS(2*S194) - 569925*COS(2*Q194) + (1-0.002516*M194)*48888*COS(R194) - 3149*COS(2*T194)  +246158*COS(2*S194-2*Q194) -(1-0.002516*M194)*152138*COS(2*S194-R194-Q194) -170733*COS(2*S194+Q194) -(1-0.002516*M194)*204586*COS(2*S194-R194) -(1-0.002516*M194)*129620*COS(R194-Q194)  + 108743*COS(S194) +(1-0.002516*M194)*104755*COS(R194+Q194) +10321*COS(2*S194-2*T194) +79661*COS(Q194-2*T194) -34782*COS(4*S194-Q194) -23210*COS(3*Q194)  -21636*COS(4*S194-2*Q194) +(1-0.002516*M194)*24208*COS(2*S194+R194-Q194) +(1-0.002516*M194)*30824*COS(2*S194+R194) -8379*COS(S194-Q194) -(1-0.002516*M194)*16675*COS(S194+R194)  -(1-0.002516*M194)*12831*COS(2*S194-R194+Q194) -10445*COS(2*S194+2*Q194) -11650*COS(4*S194) +14403*COS(2*S194-3*Q194) -(1-0.002516*M194)*7003*COS(R194-2*Q194)  + (1-0.002516*M194)*10056*COS(2*S194-R194-2*Q194) +6322*COS(S194+Q194) -(1-0.002516*M194)*(1-0.002516*M194)*9884*COS(2*S194-2*R194) +(1-0.002516*M194)*5751*COS(R194+2*Q194) -(1-0.002516*M194)*(1-0.002516*M194)*4950*COS(2*S194-2*R194-Q194)  +4130*COS(2*S194+Q194-2*T194) -(1-0.002516*M194)*3958*COS(4*S194-R194-Q194) +3258*COS(3*S194-Q194) +(1-0.002516*M194)*2616*COS(2*S194+R194+Q194) -(1-0.002516*M194)*1897*COS(4*S194-R194-2*Q194)  -(1-0.002516*M194)*(1-0.002516*M194)*2117*COS(2*R194-Q194) +(1-0.002516*M194)*(1-0.002516*M194)*2354*COS(2*S194+2*R194-Q194) -1423*COS(4*S194+Q194) -1117*COS(4*Q194) -(1-0.002516*M194)*1571*COS(4*S194-R194)  -1739*COS(S194-2*Q194) -4421*COS(2*Q194-2*T194) +(1-0.002516*M194)*(1-0.002516*M194)*1165*COS(2*R194+Q194) +8752*COS(2*S194-Q194-2*T194))/1000</f>
        <v>378187.398333996</v>
      </c>
      <c r="AY194" s="10" t="n">
        <f aca="false">AY193+1/8</f>
        <v>25</v>
      </c>
      <c r="AZ194" s="17" t="n">
        <f aca="false">AZ193+1</f>
        <v>193</v>
      </c>
      <c r="BA194" s="32" t="n">
        <f aca="false">ATAN(0.99664719*TAN($A$4*input!$E$2))</f>
        <v>-0.400219206115995</v>
      </c>
      <c r="BB194" s="32" t="n">
        <f aca="false">COS(BA194)</f>
        <v>0.920975608992155</v>
      </c>
      <c r="BC194" s="32" t="n">
        <f aca="false">0.99664719*SIN(BA194)</f>
        <v>-0.388313912533463</v>
      </c>
      <c r="BD194" s="32" t="n">
        <f aca="false">6378.14/AX194</f>
        <v>0.0168650251914718</v>
      </c>
      <c r="BE194" s="33" t="n">
        <f aca="false">MOD(N194-15*AH194,360)</f>
        <v>188.846441900517</v>
      </c>
      <c r="BF194" s="27" t="n">
        <f aca="false">COS($A$4*AG194)*SIN($A$4*BE194)</f>
        <v>-0.152102578977374</v>
      </c>
      <c r="BG194" s="27" t="n">
        <f aca="false">COS($A$4*AG194)*COS($A$4*BE194)-BB194*BD194</f>
        <v>-0.992814894298361</v>
      </c>
      <c r="BH194" s="27" t="n">
        <f aca="false">SIN($A$4*AG194)-BC194*BD194</f>
        <v>-0.141043389889043</v>
      </c>
      <c r="BI194" s="46" t="n">
        <f aca="false">SQRT(BF194^2+BG194^2+BH194^2)</f>
        <v>1.01425334443798</v>
      </c>
      <c r="BJ194" s="35" t="n">
        <f aca="false">AX194*BI194</f>
        <v>383577.833584553</v>
      </c>
    </row>
    <row r="195" customFormat="false" ht="15" hidden="false" customHeight="false" outlineLevel="0" collapsed="false">
      <c r="A195" s="20"/>
      <c r="B195" s="20"/>
      <c r="C195" s="15" t="n">
        <f aca="false">MOD(C194+3,24)</f>
        <v>3</v>
      </c>
      <c r="D195" s="17" t="n">
        <v>25</v>
      </c>
      <c r="E195" s="102" t="n">
        <f aca="false">input!$C$2</f>
        <v>10</v>
      </c>
      <c r="F195" s="102" t="n">
        <f aca="false">input!$D$2</f>
        <v>2022</v>
      </c>
      <c r="H195" s="39" t="n">
        <f aca="false">AM195</f>
        <v>-30.2755372880338</v>
      </c>
      <c r="I195" s="48" t="n">
        <f aca="false">H195+1.02/(TAN($A$4*(H195+10.3/(H195+5.11)))*60)</f>
        <v>-30.3041858302846</v>
      </c>
      <c r="J195" s="39" t="n">
        <f aca="false">100*(1+COS($A$4*AQ195))/2</f>
        <v>0.148829716757048</v>
      </c>
      <c r="K195" s="48" t="n">
        <f aca="false">IF(AI195&gt;180,AT195-180,AT195+180)</f>
        <v>116.091485602749</v>
      </c>
      <c r="L195" s="10" t="n">
        <f aca="false">L194+1/8</f>
        <v>2459877.625</v>
      </c>
      <c r="M195" s="49" t="n">
        <f aca="false">(L195-2451545)/36525</f>
        <v>0.228134839151266</v>
      </c>
      <c r="N195" s="15" t="n">
        <f aca="false">MOD(280.46061837+360.98564736629*(L195-2451545)+0.000387933*M195^2-M195^3/38710000+$G$4,360)</f>
        <v>78.4905240917578</v>
      </c>
      <c r="O195" s="18" t="n">
        <f aca="false">0.60643382+1336.85522467*M195 - 0.00000313*M195^2 - INT(0.60643382+1336.85522467*M195 - 0.00000313*M195^2)</f>
        <v>0.589685305717978</v>
      </c>
      <c r="P195" s="15" t="n">
        <f aca="false">22640*SIN(Q195)-4586*SIN(Q195-2*S195)+2370*SIN(2*S195)+769*SIN(2*Q195)-668*SIN(R195)-412*SIN(2*T195)-212*SIN(2*Q195-2*S195)-206*SIN(Q195+R195-2*S195)+192*SIN(Q195+2*S195)-165*SIN(R195-2*S195)-125*SIN(S195)-110*SIN(Q195+R195)+148*SIN(Q195-R195)-55*SIN(2*T195-2*S195)</f>
        <v>-17159.5334794627</v>
      </c>
      <c r="Q195" s="18" t="n">
        <f aca="false">2*PI()*(0.374897+1325.55241*M195 - INT(0.374897+1325.55241*M195))</f>
        <v>4.89826345810206</v>
      </c>
      <c r="R195" s="26" t="n">
        <f aca="false">2*PI()*(0.99312619+99.99735956*M195 - 0.00000044*M195^2 - INT(0.99312619+99.99735956*M195- 0.00000044*M195^2))</f>
        <v>5.06429577500798</v>
      </c>
      <c r="S195" s="26" t="n">
        <f aca="false">2*PI()*(0.827361+1236.853086*M195 - INT(0.827361+1236.853086*M195))</f>
        <v>6.26207900927006</v>
      </c>
      <c r="T195" s="26" t="n">
        <f aca="false">2*PI()*(0.259086+1342.227825*M195 - INT(0.259086+1342.227825*M195))</f>
        <v>2.94062472479246</v>
      </c>
      <c r="U195" s="26" t="n">
        <f aca="false">T195+(P195+412*SIN(2*T195)+541*SIN(R195))/206264.8062</f>
        <v>2.85418945516784</v>
      </c>
      <c r="V195" s="26" t="n">
        <f aca="false">T195-2*S195</f>
        <v>-9.58353329374766</v>
      </c>
      <c r="W195" s="25" t="n">
        <f aca="false">-526*SIN(V195)+44*SIN(Q195+V195)-31*SIN(-Q195+V195)-23*SIN(R195+V195)+11*SIN(-R195+V195)-25*SIN(-2*Q195+T195)+21*SIN(-Q195+T195)</f>
        <v>-48.0631364602663</v>
      </c>
      <c r="X195" s="26" t="n">
        <f aca="false">2*PI()*(O195+P195/1296000-INT(O195+P195/1296000))</f>
        <v>3.6219102828239</v>
      </c>
      <c r="Y195" s="26" t="n">
        <f aca="false">(18520*SIN(U195)+W195)/206264.8062</f>
        <v>0.0252184062151534</v>
      </c>
      <c r="Z195" s="26" t="n">
        <f aca="false">Y195*180/PI()</f>
        <v>1.44490824217477</v>
      </c>
      <c r="AA195" s="26" t="n">
        <f aca="false">COS(Y195)*COS(X195)</f>
        <v>-0.886566214872831</v>
      </c>
      <c r="AB195" s="26" t="n">
        <f aca="false">COS(Y195)*SIN(X195)</f>
        <v>-0.46191396757517</v>
      </c>
      <c r="AC195" s="26" t="n">
        <f aca="false">SIN(Y195)</f>
        <v>0.0252157332835385</v>
      </c>
      <c r="AD195" s="26" t="n">
        <f aca="false">COS($A$4*(23.4393-46.815*M195/3600))*AB195-SIN($A$4*(23.4393-46.815*M195/3600))*AC195</f>
        <v>-0.433836312510574</v>
      </c>
      <c r="AE195" s="26" t="n">
        <f aca="false">SIN($A$4*(23.4393-46.815*M195/3600))*AB195+COS($A$4*(23.4393-46.815*M195/3600))*AC195</f>
        <v>-0.160581445358079</v>
      </c>
      <c r="AF195" s="26" t="n">
        <f aca="false">SQRT(1-AE195*AE195)</f>
        <v>0.987022593159199</v>
      </c>
      <c r="AG195" s="10" t="n">
        <f aca="false">ATAN(AE195/AF195)/$A$4</f>
        <v>-9.24064698947348</v>
      </c>
      <c r="AH195" s="26" t="n">
        <f aca="false">IF(24*ATAN(AD195/(AA195+AF195))/PI()&gt;0,24*ATAN(AD195/(AA195+AF195))/PI(),24*ATAN(AD195/(AA195+AF195))/PI()+24)</f>
        <v>13.7383040659182</v>
      </c>
      <c r="AI195" s="10" t="n">
        <f aca="false">IF(N195-15*AH195&gt;0,N195-15*AH195,360+N195-15*AH195)</f>
        <v>232.415963102986</v>
      </c>
      <c r="AJ195" s="18" t="n">
        <f aca="false">0.950724+0.051818*COS(Q195)+0.009531*COS(2*S195-Q195)+0.007843*COS(2*S195)+0.002824*COS(2*Q195)+0.000857*COS(2*S195+Q195)+0.000533*COS(2*S195-R195)+0.000401*COS(2*S195-R195-Q195)+0.00032*COS(Q195-R195)-0.000271*COS(S195)</f>
        <v>0.96769688862629</v>
      </c>
      <c r="AK195" s="50" t="n">
        <f aca="false">ASIN(COS($A$4*$G$2)*COS($A$4*AG195)*COS($A$4*AI195)+SIN($A$4*$G$2)*SIN($A$4*AG195))/$A$4</f>
        <v>-29.4331797911889</v>
      </c>
      <c r="AL195" s="18" t="n">
        <f aca="false">ASIN((0.9983271+0.0016764*COS($A$4*2*$G$2))*COS($A$4*AK195)*SIN($A$4*AJ195))/$A$4</f>
        <v>0.842357496844923</v>
      </c>
      <c r="AM195" s="18" t="n">
        <f aca="false">AK195-AL195</f>
        <v>-30.2755372880338</v>
      </c>
      <c r="AN195" s="10" t="n">
        <f aca="false"> IF(280.4664567 + 360007.6982779*M195/10 + 0.03032028*M195^2/100 + M195^3/49931000&lt;0,MOD(280.4664567 + 360007.6982779*M195/10 + 0.03032028*M195^2/100 + M195^3/49931000+360,360),MOD(280.4664567 + 360007.6982779*M195/10 + 0.03032028*M195^2/100 + M195^3/49931000,360))</f>
        <v>213.496306465211</v>
      </c>
      <c r="AO195" s="27" t="n">
        <f aca="false"> AN195 + (1.9146 - 0.004817*M195 - 0.000014*M195^2)*SIN(R195)+ (0.019993 - 0.000101*M195)*SIN(2*R195)+ 0.00029*SIN(3*R195)</f>
        <v>211.687290535397</v>
      </c>
      <c r="AP195" s="18" t="n">
        <f aca="false">ACOS(COS(X195-$A$4*AO195)*COS(Y195))/$A$4</f>
        <v>4.41009590825947</v>
      </c>
      <c r="AQ195" s="25" t="n">
        <f aca="false">180 - AP195 -0.1468*(1-0.0549*SIN(R195))*SIN($A$4*AP195)/(1-0.0167*SIN($A$4*AO195))</f>
        <v>175.57813742652</v>
      </c>
      <c r="AR195" s="25" t="n">
        <f aca="false">SIN($A$4*AI195)</f>
        <v>-0.792459604357663</v>
      </c>
      <c r="AS195" s="25" t="n">
        <f aca="false">COS($A$4*AI195)*SIN($A$4*$G$2) - TAN($A$4*AG195)*COS($A$4*$G$2)</f>
        <v>0.388075939316391</v>
      </c>
      <c r="AT195" s="25" t="n">
        <f aca="false">IF(OR(AND(AR195*AS195&gt;0), AND(AR195&lt;0,AS195&gt;0)), MOD(ATAN2(AS195,AR195)/$A$4+360,360),  ATAN2(AS195,AR195)/$A$4)</f>
        <v>296.091485602749</v>
      </c>
      <c r="AU195" s="29" t="n">
        <f aca="false">(1+SIN($A$4*H195)*SIN($A$4*AJ195))*120*ASIN(0.272481*SIN($A$4*AJ195))/$A$4</f>
        <v>31.3706870237103</v>
      </c>
      <c r="AV195" s="10" t="n">
        <f aca="false">COS(X195)</f>
        <v>-0.88684820347218</v>
      </c>
      <c r="AW195" s="10" t="n">
        <f aca="false">SIN(X195)</f>
        <v>-0.462060887760658</v>
      </c>
      <c r="AX195" s="30" t="n">
        <f aca="false"> 385000.56 + (-20905355*COS(Q195) - 3699111*COS(2*S195-Q195) - 2955968*COS(2*S195) - 569925*COS(2*Q195) + (1-0.002516*M195)*48888*COS(R195) - 3149*COS(2*T195)  +246158*COS(2*S195-2*Q195) -(1-0.002516*M195)*152138*COS(2*S195-R195-Q195) -170733*COS(2*S195+Q195) -(1-0.002516*M195)*204586*COS(2*S195-R195) -(1-0.002516*M195)*129620*COS(R195-Q195)  + 108743*COS(S195) +(1-0.002516*M195)*104755*COS(R195+Q195) +10321*COS(2*S195-2*T195) +79661*COS(Q195-2*T195) -34782*COS(4*S195-Q195) -23210*COS(3*Q195)  -21636*COS(4*S195-2*Q195) +(1-0.002516*M195)*24208*COS(2*S195+R195-Q195) +(1-0.002516*M195)*30824*COS(2*S195+R195) -8379*COS(S195-Q195) -(1-0.002516*M195)*16675*COS(S195+R195)  -(1-0.002516*M195)*12831*COS(2*S195-R195+Q195) -10445*COS(2*S195+2*Q195) -11650*COS(4*S195) +14403*COS(2*S195-3*Q195) -(1-0.002516*M195)*7003*COS(R195-2*Q195)  + (1-0.002516*M195)*10056*COS(2*S195-R195-2*Q195) +6322*COS(S195+Q195) -(1-0.002516*M195)*(1-0.002516*M195)*9884*COS(2*S195-2*R195) +(1-0.002516*M195)*5751*COS(R195+2*Q195) -(1-0.002516*M195)*(1-0.002516*M195)*4950*COS(2*S195-2*R195-Q195)  +4130*COS(2*S195+Q195-2*T195) -(1-0.002516*M195)*3958*COS(4*S195-R195-Q195) +3258*COS(3*S195-Q195) +(1-0.002516*M195)*2616*COS(2*S195+R195+Q195) -(1-0.002516*M195)*1897*COS(4*S195-R195-2*Q195)  -(1-0.002516*M195)*(1-0.002516*M195)*2117*COS(2*R195-Q195) +(1-0.002516*M195)*(1-0.002516*M195)*2354*COS(2*S195+2*R195-Q195) -1423*COS(4*S195+Q195) -1117*COS(4*Q195) -(1-0.002516*M195)*1571*COS(4*S195-R195)  -1739*COS(S195-2*Q195) -4421*COS(2*Q195-2*T195) +(1-0.002516*M195)*(1-0.002516*M195)*1165*COS(2*R195+Q195) +8752*COS(2*S195-Q195-2*T195))/1000</f>
        <v>377669.646335178</v>
      </c>
      <c r="AY195" s="10" t="n">
        <f aca="false">AY194+1/8</f>
        <v>25.125</v>
      </c>
      <c r="AZ195" s="17" t="n">
        <f aca="false">AZ194+1</f>
        <v>194</v>
      </c>
      <c r="BA195" s="32" t="n">
        <f aca="false">ATAN(0.99664719*TAN($A$4*input!$E$2))</f>
        <v>-0.400219206115995</v>
      </c>
      <c r="BB195" s="32" t="n">
        <f aca="false">COS(BA195)</f>
        <v>0.920975608992155</v>
      </c>
      <c r="BC195" s="32" t="n">
        <f aca="false">0.99664719*SIN(BA195)</f>
        <v>-0.388313912533463</v>
      </c>
      <c r="BD195" s="32" t="n">
        <f aca="false">6378.14/AX195</f>
        <v>0.0168881456635238</v>
      </c>
      <c r="BE195" s="33" t="n">
        <f aca="false">MOD(N195-15*AH195,360)</f>
        <v>232.415963102986</v>
      </c>
      <c r="BF195" s="27" t="n">
        <f aca="false">COS($A$4*AG195)*SIN($A$4*BE195)</f>
        <v>-0.782175533667014</v>
      </c>
      <c r="BG195" s="27" t="n">
        <f aca="false">COS($A$4*AG195)*COS($A$4*BE195)-BB195*BD195</f>
        <v>-0.617562734568979</v>
      </c>
      <c r="BH195" s="27" t="n">
        <f aca="false">SIN($A$4*AG195)-BC195*BD195</f>
        <v>-0.154023543440041</v>
      </c>
      <c r="BI195" s="46" t="n">
        <f aca="false">SQRT(BF195^2+BG195^2+BH195^2)</f>
        <v>1.00841734838777</v>
      </c>
      <c r="BJ195" s="35" t="n">
        <f aca="false">AX195*BI195</f>
        <v>380848.623323867</v>
      </c>
    </row>
    <row r="196" customFormat="false" ht="15" hidden="false" customHeight="false" outlineLevel="0" collapsed="false">
      <c r="A196" s="20"/>
      <c r="B196" s="20"/>
      <c r="C196" s="15" t="n">
        <f aca="false">MOD(C195+3,24)</f>
        <v>6</v>
      </c>
      <c r="D196" s="17" t="n">
        <v>25</v>
      </c>
      <c r="E196" s="102" t="n">
        <f aca="false">input!$C$2</f>
        <v>10</v>
      </c>
      <c r="F196" s="102" t="n">
        <f aca="false">input!$D$2</f>
        <v>2022</v>
      </c>
      <c r="H196" s="39" t="n">
        <f aca="false">AM196</f>
        <v>8.37512839523158</v>
      </c>
      <c r="I196" s="48" t="n">
        <f aca="false">H196+1.02/(TAN($A$4*(H196+10.3/(H196+5.11)))*60)</f>
        <v>8.48080308709062</v>
      </c>
      <c r="J196" s="39" t="n">
        <f aca="false">100*(1+COS($A$4*AQ196))/2</f>
        <v>0.0638543901791244</v>
      </c>
      <c r="K196" s="48" t="n">
        <f aca="false">IF(AI196&gt;180,AT196-180,AT196+180)</f>
        <v>96.9629059553827</v>
      </c>
      <c r="L196" s="10" t="n">
        <f aca="false">L195+1/8</f>
        <v>2459877.75</v>
      </c>
      <c r="M196" s="49" t="n">
        <f aca="false">(L196-2451545)/36525</f>
        <v>0.22813826146475</v>
      </c>
      <c r="N196" s="15" t="n">
        <f aca="false">MOD(280.46061837+360.98564736629*(L196-2451545)+0.000387933*M196^2-M196^3/38710000+$G$4,360)</f>
        <v>123.613730013371</v>
      </c>
      <c r="O196" s="18" t="n">
        <f aca="false">0.60643382+1336.85522467*M196 - 0.00000313*M196^2 - INT(0.60643382+1336.85522467*M196 - 0.00000313*M196^2)</f>
        <v>0.594260443374481</v>
      </c>
      <c r="P196" s="15" t="n">
        <f aca="false">22640*SIN(Q196)-4586*SIN(Q196-2*S196)+2370*SIN(2*S196)+769*SIN(2*Q196)-668*SIN(R196)-412*SIN(2*T196)-212*SIN(2*Q196-2*S196)-206*SIN(Q196+R196-2*S196)+192*SIN(Q196+2*S196)-165*SIN(R196-2*S196)-125*SIN(S196)-110*SIN(Q196+R196)+148*SIN(Q196-R196)-55*SIN(2*T196-2*S196)</f>
        <v>-16938.0837359161</v>
      </c>
      <c r="Q196" s="18" t="n">
        <f aca="false">2*PI()*(0.374897+1325.55241*M196 - INT(0.374897+1325.55241*M196))</f>
        <v>4.92676685107385</v>
      </c>
      <c r="R196" s="26" t="n">
        <f aca="false">2*PI()*(0.99312619+99.99735956*M196 - 0.00000044*M196^2 - INT(0.99312619+99.99735956*M196- 0.00000044*M196^2))</f>
        <v>5.06644602120603</v>
      </c>
      <c r="S196" s="26" t="n">
        <f aca="false">2*PI()*(0.827361+1236.853086*M196 - INT(0.827361+1236.853086*M196))</f>
        <v>0.0054897908550389</v>
      </c>
      <c r="T196" s="26" t="n">
        <f aca="false">2*PI()*(0.259086+1342.227825*M196 - INT(0.259086+1342.227825*M196))</f>
        <v>2.96948668970987</v>
      </c>
      <c r="U196" s="26" t="n">
        <f aca="false">T196+(P196+412*SIN(2*T196)+541*SIN(R196))/206264.8062</f>
        <v>2.88423434182352</v>
      </c>
      <c r="V196" s="26" t="n">
        <f aca="false">T196-2*S196</f>
        <v>2.95850710799979</v>
      </c>
      <c r="W196" s="25" t="n">
        <f aca="false">-526*SIN(V196)+44*SIN(Q196+V196)-31*SIN(-Q196+V196)-23*SIN(R196+V196)+11*SIN(-R196+V196)-25*SIN(-2*Q196+T196)+21*SIN(-Q196+T196)</f>
        <v>-60.6367827919623</v>
      </c>
      <c r="X196" s="26" t="n">
        <f aca="false">2*PI()*(O196+P196/1296000-INT(O196+P196/1296000))</f>
        <v>3.65173033917905</v>
      </c>
      <c r="Y196" s="26" t="n">
        <f aca="false">(18520*SIN(U196)+W196)/206264.8062</f>
        <v>0.0225593441702426</v>
      </c>
      <c r="Z196" s="26" t="n">
        <f aca="false">Y196*180/PI()</f>
        <v>1.29255520953796</v>
      </c>
      <c r="AA196" s="26" t="n">
        <f aca="false">COS(Y196)*COS(X196)</f>
        <v>-0.872455230607989</v>
      </c>
      <c r="AB196" s="26" t="n">
        <f aca="false">COS(Y196)*SIN(X196)</f>
        <v>-0.488173158729626</v>
      </c>
      <c r="AC196" s="26" t="n">
        <f aca="false">SIN(Y196)</f>
        <v>0.0225574307202859</v>
      </c>
      <c r="AD196" s="26" t="n">
        <f aca="false">COS($A$4*(23.4393-46.815*M196/3600))*AB196-SIN($A$4*(23.4393-46.815*M196/3600))*AC196</f>
        <v>-0.456871902561535</v>
      </c>
      <c r="AE196" s="26" t="n">
        <f aca="false">SIN($A$4*(23.4393-46.815*M196/3600))*AB196+COS($A$4*(23.4393-46.815*M196/3600))*AC196</f>
        <v>-0.17346450713205</v>
      </c>
      <c r="AF196" s="26" t="n">
        <f aca="false">SQRT(1-AE196*AE196)</f>
        <v>0.98484012142349</v>
      </c>
      <c r="AG196" s="10" t="n">
        <f aca="false">ATAN(AE196/AF196)/$A$4</f>
        <v>-9.98931428650203</v>
      </c>
      <c r="AH196" s="26" t="n">
        <f aca="false">IF(24*ATAN(AD196/(AA196+AF196))/PI()&gt;0,24*ATAN(AD196/(AA196+AF196))/PI(),24*ATAN(AD196/(AA196+AF196))/PI()+24)</f>
        <v>13.8426236852735</v>
      </c>
      <c r="AI196" s="10" t="n">
        <f aca="false">IF(N196-15*AH196&gt;0,N196-15*AH196,360+N196-15*AH196)</f>
        <v>275.974374734268</v>
      </c>
      <c r="AJ196" s="18" t="n">
        <f aca="false">0.950724+0.051818*COS(Q196)+0.009531*COS(2*S196-Q196)+0.007843*COS(2*S196)+0.002824*COS(2*Q196)+0.000857*COS(2*S196+Q196)+0.000533*COS(2*S196-R196)+0.000401*COS(2*S196-R196-Q196)+0.00032*COS(Q196-R196)-0.000271*COS(S196)</f>
        <v>0.96902352687425</v>
      </c>
      <c r="AK196" s="50" t="n">
        <f aca="false">ASIN(COS($A$4*$G$2)*COS($A$4*AG196)*COS($A$4*AI196)+SIN($A$4*$G$2)*SIN($A$4*AG196))/$A$4</f>
        <v>9.33084301310758</v>
      </c>
      <c r="AL196" s="18" t="n">
        <f aca="false">ASIN((0.9983271+0.0016764*COS($A$4*2*$G$2))*COS($A$4*AK196)*SIN($A$4*AJ196))/$A$4</f>
        <v>0.955714617876003</v>
      </c>
      <c r="AM196" s="18" t="n">
        <f aca="false">AK196-AL196</f>
        <v>8.37512839523158</v>
      </c>
      <c r="AN196" s="10" t="n">
        <f aca="false"> IF(280.4664567 + 360007.6982779*M196/10 + 0.03032028*M196^2/100 + M196^3/49931000&lt;0,MOD(280.4664567 + 360007.6982779*M196/10 + 0.03032028*M196^2/100 + M196^3/49931000+360,360),MOD(280.4664567 + 360007.6982779*M196/10 + 0.03032028*M196^2/100 + M196^3/49931000,360))</f>
        <v>213.619512385696</v>
      </c>
      <c r="AO196" s="27" t="n">
        <f aca="false"> AN196 + (1.9146 - 0.004817*M196 - 0.000014*M196^2)*SIN(R196)+ (0.019993 - 0.000101*M196)*SIN(2*R196)+ 0.00029*SIN(3*R196)</f>
        <v>211.811851857286</v>
      </c>
      <c r="AP196" s="18" t="n">
        <f aca="false">ACOS(COS(X196-$A$4*AO196)*COS(Y196))/$A$4</f>
        <v>2.88826116331387</v>
      </c>
      <c r="AQ196" s="25" t="n">
        <f aca="false">180 - AP196 -0.1468*(1-0.0549*SIN(R196))*SIN($A$4*AP196)/(1-0.0167*SIN($A$4*AO196))</f>
        <v>177.104028796496</v>
      </c>
      <c r="AR196" s="25" t="n">
        <f aca="false">SIN($A$4*AI196)</f>
        <v>-0.994568545760041</v>
      </c>
      <c r="AS196" s="25" t="n">
        <f aca="false">COS($A$4*AI196)*SIN($A$4*$G$2) - TAN($A$4*AG196)*COS($A$4*$G$2)</f>
        <v>0.121464109804303</v>
      </c>
      <c r="AT196" s="25" t="n">
        <f aca="false">IF(OR(AND(AR196*AS196&gt;0), AND(AR196&lt;0,AS196&gt;0)), MOD(ATAN2(AS196,AR196)/$A$4+360,360),  ATAN2(AS196,AR196)/$A$4)</f>
        <v>276.962905955383</v>
      </c>
      <c r="AU196" s="29" t="n">
        <f aca="false">(1+SIN($A$4*H196)*SIN($A$4*AJ196))*120*ASIN(0.272481*SIN($A$4*AJ196))/$A$4</f>
        <v>31.7615065439734</v>
      </c>
      <c r="AV196" s="10" t="n">
        <f aca="false">COS(X196)</f>
        <v>-0.872677284401615</v>
      </c>
      <c r="AW196" s="10" t="n">
        <f aca="false">SIN(X196)</f>
        <v>-0.488297406597069</v>
      </c>
      <c r="AX196" s="30" t="n">
        <f aca="false"> 385000.56 + (-20905355*COS(Q196) - 3699111*COS(2*S196-Q196) - 2955968*COS(2*S196) - 569925*COS(2*Q196) + (1-0.002516*M196)*48888*COS(R196) - 3149*COS(2*T196)  +246158*COS(2*S196-2*Q196) -(1-0.002516*M196)*152138*COS(2*S196-R196-Q196) -170733*COS(2*S196+Q196) -(1-0.002516*M196)*204586*COS(2*S196-R196) -(1-0.002516*M196)*129620*COS(R196-Q196)  + 108743*COS(S196) +(1-0.002516*M196)*104755*COS(R196+Q196) +10321*COS(2*S196-2*T196) +79661*COS(Q196-2*T196) -34782*COS(4*S196-Q196) -23210*COS(3*Q196)  -21636*COS(4*S196-2*Q196) +(1-0.002516*M196)*24208*COS(2*S196+R196-Q196) +(1-0.002516*M196)*30824*COS(2*S196+R196) -8379*COS(S196-Q196) -(1-0.002516*M196)*16675*COS(S196+R196)  -(1-0.002516*M196)*12831*COS(2*S196-R196+Q196) -10445*COS(2*S196+2*Q196) -11650*COS(4*S196) +14403*COS(2*S196-3*Q196) -(1-0.002516*M196)*7003*COS(R196-2*Q196)  + (1-0.002516*M196)*10056*COS(2*S196-R196-2*Q196) +6322*COS(S196+Q196) -(1-0.002516*M196)*(1-0.002516*M196)*9884*COS(2*S196-2*R196) +(1-0.002516*M196)*5751*COS(R196+2*Q196) -(1-0.002516*M196)*(1-0.002516*M196)*4950*COS(2*S196-2*R196-Q196)  +4130*COS(2*S196+Q196-2*T196) -(1-0.002516*M196)*3958*COS(4*S196-R196-Q196) +3258*COS(3*S196-Q196) +(1-0.002516*M196)*2616*COS(2*S196+R196+Q196) -(1-0.002516*M196)*1897*COS(4*S196-R196-2*Q196)  -(1-0.002516*M196)*(1-0.002516*M196)*2117*COS(2*R196-Q196) +(1-0.002516*M196)*(1-0.002516*M196)*2354*COS(2*S196+2*R196-Q196) -1423*COS(4*S196+Q196) -1117*COS(4*Q196) -(1-0.002516*M196)*1571*COS(4*S196-R196)  -1739*COS(S196-2*Q196) -4421*COS(2*Q196-2*T196) +(1-0.002516*M196)*(1-0.002516*M196)*1165*COS(2*R196+Q196) +8752*COS(2*S196-Q196-2*T196))/1000</f>
        <v>377162.527397381</v>
      </c>
      <c r="AY196" s="10" t="n">
        <f aca="false">AY195+1/8</f>
        <v>25.25</v>
      </c>
      <c r="AZ196" s="17" t="n">
        <f aca="false">AZ195+1</f>
        <v>195</v>
      </c>
      <c r="BA196" s="32" t="n">
        <f aca="false">ATAN(0.99664719*TAN($A$4*input!$E$2))</f>
        <v>-0.400219206115995</v>
      </c>
      <c r="BB196" s="32" t="n">
        <f aca="false">COS(BA196)</f>
        <v>0.920975608992155</v>
      </c>
      <c r="BC196" s="32" t="n">
        <f aca="false">0.99664719*SIN(BA196)</f>
        <v>-0.388313912533463</v>
      </c>
      <c r="BD196" s="32" t="n">
        <f aca="false">6378.14/AX196</f>
        <v>0.0169108528464174</v>
      </c>
      <c r="BE196" s="33" t="n">
        <f aca="false">MOD(N196-15*AH196,360)</f>
        <v>275.974374734268</v>
      </c>
      <c r="BF196" s="27" t="n">
        <f aca="false">COS($A$4*AG196)*SIN($A$4*BE196)</f>
        <v>-0.979491007370303</v>
      </c>
      <c r="BG196" s="27" t="n">
        <f aca="false">COS($A$4*AG196)*COS($A$4*BE196)-BB196*BD196</f>
        <v>0.0869312790155493</v>
      </c>
      <c r="BH196" s="27" t="n">
        <f aca="false">SIN($A$4*AG196)-BC196*BD196</f>
        <v>-0.16689778769898</v>
      </c>
      <c r="BI196" s="46" t="n">
        <f aca="false">SQRT(BF196^2+BG196^2+BH196^2)</f>
        <v>0.997403906313478</v>
      </c>
      <c r="BJ196" s="35" t="n">
        <f aca="false">AX196*BI196</f>
        <v>376183.378141212</v>
      </c>
    </row>
    <row r="197" customFormat="false" ht="15" hidden="false" customHeight="false" outlineLevel="0" collapsed="false">
      <c r="A197" s="20"/>
      <c r="B197" s="20"/>
      <c r="C197" s="15" t="n">
        <f aca="false">MOD(C196+3,24)</f>
        <v>9</v>
      </c>
      <c r="D197" s="17" t="n">
        <v>25</v>
      </c>
      <c r="E197" s="102" t="n">
        <f aca="false">input!$C$2</f>
        <v>10</v>
      </c>
      <c r="F197" s="102" t="n">
        <f aca="false">input!$D$2</f>
        <v>2022</v>
      </c>
      <c r="H197" s="39" t="n">
        <f aca="false">AM197</f>
        <v>48.8959985346091</v>
      </c>
      <c r="I197" s="48" t="n">
        <f aca="false">H197+1.02/(TAN($A$4*(H197+10.3/(H197+5.11)))*60)</f>
        <v>48.91073129575</v>
      </c>
      <c r="J197" s="39" t="n">
        <f aca="false">100*(1+COS($A$4*AQ197))/2</f>
        <v>0.0174964164527558</v>
      </c>
      <c r="K197" s="48" t="n">
        <f aca="false">IF(AI197&gt;180,AT197-180,AT197+180)</f>
        <v>79.2939528490459</v>
      </c>
      <c r="L197" s="10" t="n">
        <f aca="false">L196+1/8</f>
        <v>2459877.875</v>
      </c>
      <c r="M197" s="49" t="n">
        <f aca="false">(L197-2451545)/36525</f>
        <v>0.228141683778234</v>
      </c>
      <c r="N197" s="15" t="n">
        <f aca="false">MOD(280.46061837+360.98564736629*(L197-2451545)+0.000387933*M197^2-M197^3/38710000+$G$4,360)</f>
        <v>168.736935934983</v>
      </c>
      <c r="O197" s="18" t="n">
        <f aca="false">0.60643382+1336.85522467*M197 - 0.00000313*M197^2 - INT(0.60643382+1336.85522467*M197 - 0.00000313*M197^2)</f>
        <v>0.59883558103104</v>
      </c>
      <c r="P197" s="15" t="n">
        <f aca="false">22640*SIN(Q197)-4586*SIN(Q197-2*S197)+2370*SIN(2*S197)+769*SIN(2*Q197)-668*SIN(R197)-412*SIN(2*T197)-212*SIN(2*Q197-2*S197)-206*SIN(Q197+R197-2*S197)+192*SIN(Q197+2*S197)-165*SIN(R197-2*S197)-125*SIN(S197)-110*SIN(Q197+R197)+148*SIN(Q197-R197)-55*SIN(2*T197-2*S197)</f>
        <v>-16700.1552964956</v>
      </c>
      <c r="Q197" s="18" t="n">
        <f aca="false">2*PI()*(0.374897+1325.55241*M197 - INT(0.374897+1325.55241*M197))</f>
        <v>4.95527024404601</v>
      </c>
      <c r="R197" s="26" t="n">
        <f aca="false">2*PI()*(0.99312619+99.99735956*M197 - 0.00000044*M197^2 - INT(0.99312619+99.99735956*M197- 0.00000044*M197^2))</f>
        <v>5.06859626740416</v>
      </c>
      <c r="S197" s="26" t="n">
        <f aca="false">2*PI()*(0.827361+1236.853086*M197 - INT(0.827361+1236.853086*M197))</f>
        <v>0.0320858796203187</v>
      </c>
      <c r="T197" s="26" t="n">
        <f aca="false">2*PI()*(0.259086+1342.227825*M197 - INT(0.259086+1342.227825*M197))</f>
        <v>2.99834865462798</v>
      </c>
      <c r="U197" s="26" t="n">
        <f aca="false">T197+(P197+412*SIN(2*T197)+541*SIN(R197))/206264.8062</f>
        <v>2.91436137615086</v>
      </c>
      <c r="V197" s="26" t="n">
        <f aca="false">T197-2*S197</f>
        <v>2.93417689538735</v>
      </c>
      <c r="W197" s="25" t="n">
        <f aca="false">-526*SIN(V197)+44*SIN(Q197+V197)-31*SIN(-Q197+V197)-23*SIN(R197+V197)+11*SIN(-R197+V197)-25*SIN(-2*Q197+T197)+21*SIN(-Q197+T197)</f>
        <v>-73.2276936700237</v>
      </c>
      <c r="X197" s="26" t="n">
        <f aca="false">2*PI()*(O197+P197/1296000-INT(O197+P197/1296000))</f>
        <v>3.68163028650663</v>
      </c>
      <c r="Y197" s="26" t="n">
        <f aca="false">(18520*SIN(U197)+W197)/206264.8062</f>
        <v>0.01987238423288</v>
      </c>
      <c r="Z197" s="26" t="n">
        <f aca="false">Y197*180/PI()</f>
        <v>1.13860374540634</v>
      </c>
      <c r="AA197" s="26" t="n">
        <f aca="false">COS(Y197)*COS(X197)</f>
        <v>-0.857519982135867</v>
      </c>
      <c r="AB197" s="26" t="n">
        <f aca="false">COS(Y197)*SIN(X197)</f>
        <v>-0.514066747188473</v>
      </c>
      <c r="AC197" s="26" t="n">
        <f aca="false">SIN(Y197)</f>
        <v>0.0198710762860151</v>
      </c>
      <c r="AD197" s="26" t="n">
        <f aca="false">COS($A$4*(23.4393-46.815*M197/3600))*AB197-SIN($A$4*(23.4393-46.815*M197/3600))*AC197</f>
        <v>-0.479560894145351</v>
      </c>
      <c r="AE197" s="26" t="n">
        <f aca="false">SIN($A$4*(23.4393-46.815*M197/3600))*AB197+COS($A$4*(23.4393-46.815*M197/3600))*AC197</f>
        <v>-0.186227895451283</v>
      </c>
      <c r="AF197" s="26" t="n">
        <f aca="false">SQRT(1-AE197*AE197)</f>
        <v>0.982506575528015</v>
      </c>
      <c r="AG197" s="10" t="n">
        <f aca="false">ATAN(AE197/AF197)/$A$4</f>
        <v>-10.7327297959323</v>
      </c>
      <c r="AH197" s="26" t="n">
        <f aca="false">IF(24*ATAN(AD197/(AA197+AF197))/PI()&gt;0,24*ATAN(AD197/(AA197+AF197))/PI(),24*ATAN(AD197/(AA197+AF197))/PI()+24)</f>
        <v>13.9477159089783</v>
      </c>
      <c r="AI197" s="10" t="n">
        <f aca="false">IF(N197-15*AH197&gt;0,N197-15*AH197,360+N197-15*AH197)</f>
        <v>319.521197300309</v>
      </c>
      <c r="AJ197" s="18" t="n">
        <f aca="false">0.950724+0.051818*COS(Q197)+0.009531*COS(2*S197-Q197)+0.007843*COS(2*S197)+0.002824*COS(2*Q197)+0.000857*COS(2*S197+Q197)+0.000533*COS(2*S197-R197)+0.000401*COS(2*S197-R197-Q197)+0.00032*COS(Q197-R197)-0.000271*COS(S197)</f>
        <v>0.970324596105893</v>
      </c>
      <c r="AK197" s="50" t="n">
        <f aca="false">ASIN(COS($A$4*$G$2)*COS($A$4*AG197)*COS($A$4*AI197)+SIN($A$4*$G$2)*SIN($A$4*AG197))/$A$4</f>
        <v>49.5255077798234</v>
      </c>
      <c r="AL197" s="18" t="n">
        <f aca="false">ASIN((0.9983271+0.0016764*COS($A$4*2*$G$2))*COS($A$4*AK197)*SIN($A$4*AJ197))/$A$4</f>
        <v>0.629509245214273</v>
      </c>
      <c r="AM197" s="18" t="n">
        <f aca="false">AK197-AL197</f>
        <v>48.8959985346091</v>
      </c>
      <c r="AN197" s="10" t="n">
        <f aca="false"> IF(280.4664567 + 360007.6982779*M197/10 + 0.03032028*M197^2/100 + M197^3/49931000&lt;0,MOD(280.4664567 + 360007.6982779*M197/10 + 0.03032028*M197^2/100 + M197^3/49931000+360,360),MOD(280.4664567 + 360007.6982779*M197/10 + 0.03032028*M197^2/100 + M197^3/49931000,360))</f>
        <v>213.742718306186</v>
      </c>
      <c r="AO197" s="27" t="n">
        <f aca="false"> AN197 + (1.9146 - 0.004817*M197 - 0.000014*M197^2)*SIN(R197)+ (0.019993 - 0.000101*M197)*SIN(2*R197)+ 0.00029*SIN(3*R197)</f>
        <v>211.936421711915</v>
      </c>
      <c r="AP197" s="18" t="n">
        <f aca="false">ACOS(COS(X197-$A$4*AO197)*COS(Y197))/$A$4</f>
        <v>1.51175632129748</v>
      </c>
      <c r="AQ197" s="25" t="n">
        <f aca="false">180 - AP197 -0.1468*(1-0.0549*SIN(R197))*SIN($A$4*AP197)/(1-0.0167*SIN($A$4*AO197))</f>
        <v>178.484207175476</v>
      </c>
      <c r="AR197" s="25" t="n">
        <f aca="false">SIN($A$4*AI197)</f>
        <v>-0.649166682059703</v>
      </c>
      <c r="AS197" s="25" t="n">
        <f aca="false">COS($A$4*AI197)*SIN($A$4*$G$2) - TAN($A$4*AG197)*COS($A$4*$G$2)</f>
        <v>-0.122732280360373</v>
      </c>
      <c r="AT197" s="25" t="n">
        <f aca="false">IF(OR(AND(AR197*AS197&gt;0), AND(AR197&lt;0,AS197&gt;0)), MOD(ATAN2(AS197,AR197)/$A$4+360,360),  ATAN2(AS197,AR197)/$A$4)</f>
        <v>259.293952849046</v>
      </c>
      <c r="AU197" s="29" t="n">
        <f aca="false">(1+SIN($A$4*H197)*SIN($A$4*AJ197))*120*ASIN(0.272481*SIN($A$4*AJ197))/$A$4</f>
        <v>32.1308368900759</v>
      </c>
      <c r="AV197" s="10" t="n">
        <f aca="false">COS(X197)</f>
        <v>-0.857689332319454</v>
      </c>
      <c r="AW197" s="10" t="n">
        <f aca="false">SIN(X197)</f>
        <v>-0.514168269368511</v>
      </c>
      <c r="AX197" s="30" t="n">
        <f aca="false"> 385000.56 + (-20905355*COS(Q197) - 3699111*COS(2*S197-Q197) - 2955968*COS(2*S197) - 569925*COS(2*Q197) + (1-0.002516*M197)*48888*COS(R197) - 3149*COS(2*T197)  +246158*COS(2*S197-2*Q197) -(1-0.002516*M197)*152138*COS(2*S197-R197-Q197) -170733*COS(2*S197+Q197) -(1-0.002516*M197)*204586*COS(2*S197-R197) -(1-0.002516*M197)*129620*COS(R197-Q197)  + 108743*COS(S197) +(1-0.002516*M197)*104755*COS(R197+Q197) +10321*COS(2*S197-2*T197) +79661*COS(Q197-2*T197) -34782*COS(4*S197-Q197) -23210*COS(3*Q197)  -21636*COS(4*S197-2*Q197) +(1-0.002516*M197)*24208*COS(2*S197+R197-Q197) +(1-0.002516*M197)*30824*COS(2*S197+R197) -8379*COS(S197-Q197) -(1-0.002516*M197)*16675*COS(S197+R197)  -(1-0.002516*M197)*12831*COS(2*S197-R197+Q197) -10445*COS(2*S197+2*Q197) -11650*COS(4*S197) +14403*COS(2*S197-3*Q197) -(1-0.002516*M197)*7003*COS(R197-2*Q197)  + (1-0.002516*M197)*10056*COS(2*S197-R197-2*Q197) +6322*COS(S197+Q197) -(1-0.002516*M197)*(1-0.002516*M197)*9884*COS(2*S197-2*R197) +(1-0.002516*M197)*5751*COS(R197+2*Q197) -(1-0.002516*M197)*(1-0.002516*M197)*4950*COS(2*S197-2*R197-Q197)  +4130*COS(2*S197+Q197-2*T197) -(1-0.002516*M197)*3958*COS(4*S197-R197-Q197) +3258*COS(3*S197-Q197) +(1-0.002516*M197)*2616*COS(2*S197+R197+Q197) -(1-0.002516*M197)*1897*COS(4*S197-R197-2*Q197)  -(1-0.002516*M197)*(1-0.002516*M197)*2117*COS(2*R197-Q197) +(1-0.002516*M197)*(1-0.002516*M197)*2354*COS(2*S197+2*R197-Q197) -1423*COS(4*S197+Q197) -1117*COS(4*Q197) -(1-0.002516*M197)*1571*COS(4*S197-R197)  -1739*COS(S197-2*Q197) -4421*COS(2*Q197-2*T197) +(1-0.002516*M197)*(1-0.002516*M197)*1165*COS(2*R197+Q197) +8752*COS(2*S197-Q197-2*T197))/1000</f>
        <v>376666.548332226</v>
      </c>
      <c r="AY197" s="10" t="n">
        <f aca="false">AY196+1/8</f>
        <v>25.375</v>
      </c>
      <c r="AZ197" s="17" t="n">
        <f aca="false">AZ196+1</f>
        <v>196</v>
      </c>
      <c r="BA197" s="32" t="n">
        <f aca="false">ATAN(0.99664719*TAN($A$4*input!$E$2))</f>
        <v>-0.400219206115995</v>
      </c>
      <c r="BB197" s="32" t="n">
        <f aca="false">COS(BA197)</f>
        <v>0.920975608992155</v>
      </c>
      <c r="BC197" s="32" t="n">
        <f aca="false">0.99664719*SIN(BA197)</f>
        <v>-0.388313912533463</v>
      </c>
      <c r="BD197" s="32" t="n">
        <f aca="false">6378.14/AX197</f>
        <v>0.0169331203639947</v>
      </c>
      <c r="BE197" s="33" t="n">
        <f aca="false">MOD(N197-15*AH197,360)</f>
        <v>319.521197300309</v>
      </c>
      <c r="BF197" s="27" t="n">
        <f aca="false">COS($A$4*AG197)*SIN($A$4*BE197)</f>
        <v>-0.637810533737363</v>
      </c>
      <c r="BG197" s="27" t="n">
        <f aca="false">COS($A$4*AG197)*COS($A$4*BE197)-BB197*BD197</f>
        <v>0.731744887669365</v>
      </c>
      <c r="BH197" s="27" t="n">
        <f aca="false">SIN($A$4*AG197)-BC197*BD197</f>
        <v>-0.17965252923134</v>
      </c>
      <c r="BI197" s="46" t="n">
        <f aca="false">SQRT(BF197^2+BG197^2+BH197^2)</f>
        <v>0.987181791179218</v>
      </c>
      <c r="BJ197" s="35" t="n">
        <f aca="false">AX197*BI197</f>
        <v>371838.3578599</v>
      </c>
    </row>
    <row r="198" customFormat="false" ht="15" hidden="false" customHeight="false" outlineLevel="0" collapsed="false">
      <c r="A198" s="20"/>
      <c r="B198" s="20"/>
      <c r="C198" s="15" t="n">
        <f aca="false">MOD(C197+3,24)</f>
        <v>12</v>
      </c>
      <c r="D198" s="17" t="n">
        <v>25</v>
      </c>
      <c r="E198" s="102" t="n">
        <f aca="false">input!$C$2</f>
        <v>10</v>
      </c>
      <c r="F198" s="102" t="n">
        <f aca="false">input!$D$2</f>
        <v>2022</v>
      </c>
      <c r="H198" s="39" t="n">
        <f aca="false">AM198</f>
        <v>77.9079466349299</v>
      </c>
      <c r="I198" s="48" t="n">
        <f aca="false">H198+1.02/(TAN($A$4*(H198+10.3/(H198+5.11)))*60)</f>
        <v>77.9115501690751</v>
      </c>
      <c r="J198" s="39" t="n">
        <f aca="false">100*(1+COS($A$4*AQ198))/2</f>
        <v>0.0101428680044757</v>
      </c>
      <c r="K198" s="48" t="n">
        <f aca="false">IF(AI198&gt;180,AT198-180,AT198+180)</f>
        <v>345.31277332084</v>
      </c>
      <c r="L198" s="10" t="n">
        <f aca="false">L197+1/8</f>
        <v>2459878</v>
      </c>
      <c r="M198" s="49" t="n">
        <f aca="false">(L198-2451545)/36525</f>
        <v>0.228145106091718</v>
      </c>
      <c r="N198" s="15" t="n">
        <f aca="false">MOD(280.46061837+360.98564736629*(L198-2451545)+0.000387933*M198^2-M198^3/38710000+$G$4,360)</f>
        <v>213.86014185613</v>
      </c>
      <c r="O198" s="18" t="n">
        <f aca="false">0.60643382+1336.85522467*M198 - 0.00000313*M198^2 - INT(0.60643382+1336.85522467*M198 - 0.00000313*M198^2)</f>
        <v>0.603410718687599</v>
      </c>
      <c r="P198" s="15" t="n">
        <f aca="false">22640*SIN(Q198)-4586*SIN(Q198-2*S198)+2370*SIN(2*S198)+769*SIN(2*Q198)-668*SIN(R198)-412*SIN(2*T198)-212*SIN(2*Q198-2*S198)-206*SIN(Q198+R198-2*S198)+192*SIN(Q198+2*S198)-165*SIN(R198-2*S198)-125*SIN(S198)-110*SIN(Q198+R198)+148*SIN(Q198-R198)-55*SIN(2*T198-2*S198)</f>
        <v>-16446.0686441487</v>
      </c>
      <c r="Q198" s="18" t="n">
        <f aca="false">2*PI()*(0.374897+1325.55241*M198 - INT(0.374897+1325.55241*M198))</f>
        <v>4.98377363701781</v>
      </c>
      <c r="R198" s="26" t="n">
        <f aca="false">2*PI()*(0.99312619+99.99735956*M198 - 0.00000044*M198^2 - INT(0.99312619+99.99735956*M198- 0.00000044*M198^2))</f>
        <v>5.07074651360226</v>
      </c>
      <c r="S198" s="26" t="n">
        <f aca="false">2*PI()*(0.827361+1236.853086*M198 - INT(0.827361+1236.853086*M198))</f>
        <v>0.0586819683848843</v>
      </c>
      <c r="T198" s="26" t="n">
        <f aca="false">2*PI()*(0.259086+1342.227825*M198 - INT(0.259086+1342.227825*M198))</f>
        <v>3.02721061954539</v>
      </c>
      <c r="U198" s="26" t="n">
        <f aca="false">T198+(P198+412*SIN(2*T198)+541*SIN(R198))/206264.8062</f>
        <v>2.94456863930682</v>
      </c>
      <c r="V198" s="26" t="n">
        <f aca="false">T198-2*S198</f>
        <v>2.90984668277562</v>
      </c>
      <c r="W198" s="25" t="n">
        <f aca="false">-526*SIN(V198)+44*SIN(Q198+V198)-31*SIN(-Q198+V198)-23*SIN(R198+V198)+11*SIN(-R198+V198)-25*SIN(-2*Q198+T198)+21*SIN(-Q198+T198)</f>
        <v>-85.8270800997971</v>
      </c>
      <c r="X198" s="26" t="n">
        <f aca="false">2*PI()*(O198+P198/1296000-INT(O198+P198/1296000))</f>
        <v>3.7116085710611</v>
      </c>
      <c r="Y198" s="26" t="n">
        <f aca="false">(18520*SIN(U198)+W198)/206264.8062</f>
        <v>0.0171599613053796</v>
      </c>
      <c r="Z198" s="26" t="n">
        <f aca="false">Y198*180/PI()</f>
        <v>0.983193359406053</v>
      </c>
      <c r="AA198" s="26" t="n">
        <f aca="false">COS(Y198)*COS(X198)</f>
        <v>-0.841768434905398</v>
      </c>
      <c r="AB198" s="26" t="n">
        <f aca="false">COS(Y198)*SIN(X198)</f>
        <v>-0.539565998397647</v>
      </c>
      <c r="AC198" s="26" t="n">
        <f aca="false">SIN(Y198)</f>
        <v>0.01715911915186</v>
      </c>
      <c r="AD198" s="26" t="n">
        <f aca="false">COS($A$4*(23.4393-46.815*M198/3600))*AB198-SIN($A$4*(23.4393-46.815*M198/3600))*AC198</f>
        <v>-0.501877897342101</v>
      </c>
      <c r="AE198" s="26" t="n">
        <f aca="false">SIN($A$4*(23.4393-46.815*M198/3600))*AB198+COS($A$4*(23.4393-46.815*M198/3600))*AC198</f>
        <v>-0.198857934607571</v>
      </c>
      <c r="AF198" s="26" t="n">
        <f aca="false">SQRT(1-AE198*AE198)</f>
        <v>0.980028327061831</v>
      </c>
      <c r="AG198" s="10" t="n">
        <f aca="false">ATAN(AE198/AF198)/$A$4</f>
        <v>-11.470182105885</v>
      </c>
      <c r="AH198" s="26" t="n">
        <f aca="false">IF(24*ATAN(AD198/(AA198+AF198))/PI()&gt;0,24*ATAN(AD198/(AA198+AF198))/PI(),24*ATAN(AD198/(AA198+AF198))/PI()+24)</f>
        <v>14.0536118763389</v>
      </c>
      <c r="AI198" s="10" t="n">
        <f aca="false">IF(N198-15*AH198&gt;0,N198-15*AH198,360+N198-15*AH198)</f>
        <v>3.05596371104716</v>
      </c>
      <c r="AJ198" s="18" t="n">
        <f aca="false">0.950724+0.051818*COS(Q198)+0.009531*COS(2*S198-Q198)+0.007843*COS(2*S198)+0.002824*COS(2*Q198)+0.000857*COS(2*S198+Q198)+0.000533*COS(2*S198-R198)+0.000401*COS(2*S198-R198-Q198)+0.00032*COS(Q198-R198)-0.000271*COS(S198)</f>
        <v>0.971598500368848</v>
      </c>
      <c r="AK198" s="50" t="n">
        <f aca="false">ASIN(COS($A$4*$G$2)*COS($A$4*AG198)*COS($A$4*AI198)+SIN($A$4*$G$2)*SIN($A$4*AG198))/$A$4</f>
        <v>78.1080497715525</v>
      </c>
      <c r="AL198" s="18" t="n">
        <f aca="false">ASIN((0.9983271+0.0016764*COS($A$4*2*$G$2))*COS($A$4*AK198)*SIN($A$4*AJ198))/$A$4</f>
        <v>0.200103136622605</v>
      </c>
      <c r="AM198" s="18" t="n">
        <f aca="false">AK198-AL198</f>
        <v>77.9079466349299</v>
      </c>
      <c r="AN198" s="10" t="n">
        <f aca="false"> IF(280.4664567 + 360007.6982779*M198/10 + 0.03032028*M198^2/100 + M198^3/49931000&lt;0,MOD(280.4664567 + 360007.6982779*M198/10 + 0.03032028*M198^2/100 + M198^3/49931000+360,360),MOD(280.4664567 + 360007.6982779*M198/10 + 0.03032028*M198^2/100 + M198^3/49931000,360))</f>
        <v>213.865924226671</v>
      </c>
      <c r="AO198" s="27" t="n">
        <f aca="false"> AN198 + (1.9146 - 0.004817*M198 - 0.000014*M198^2)*SIN(R198)+ (0.019993 - 0.000101*M198)*SIN(2*R198)+ 0.00029*SIN(3*R198)</f>
        <v>212.061000093929</v>
      </c>
      <c r="AP198" s="18" t="n">
        <f aca="false">ACOS(COS(X198-$A$4*AO198)*COS(Y198))/$A$4</f>
        <v>1.1510185625492</v>
      </c>
      <c r="AQ198" s="25" t="n">
        <f aca="false">180 - AP198 -0.1468*(1-0.0549*SIN(R198))*SIN($A$4*AP198)/(1-0.0167*SIN($A$4*AO198))</f>
        <v>178.845908195807</v>
      </c>
      <c r="AR198" s="25" t="n">
        <f aca="false">SIN($A$4*AI198)</f>
        <v>0.0533113435385657</v>
      </c>
      <c r="AS198" s="25" t="n">
        <f aca="false">COS($A$4*AI198)*SIN($A$4*$G$2) - TAN($A$4*AG198)*COS($A$4*$G$2)</f>
        <v>-0.203395481979941</v>
      </c>
      <c r="AT198" s="25" t="n">
        <f aca="false">IF(OR(AND(AR198*AS198&gt;0), AND(AR198&lt;0,AS198&gt;0)), MOD(ATAN2(AS198,AR198)/$A$4+360,360),  ATAN2(AS198,AR198)/$A$4)</f>
        <v>165.31277332084</v>
      </c>
      <c r="AU198" s="29" t="n">
        <f aca="false">(1+SIN($A$4*H198)*SIN($A$4*AJ198))*120*ASIN(0.272481*SIN($A$4*AJ198))/$A$4</f>
        <v>32.2943711734907</v>
      </c>
      <c r="AV198" s="10" t="n">
        <f aca="false">COS(X198)</f>
        <v>-0.841892385477965</v>
      </c>
      <c r="AW198" s="10" t="n">
        <f aca="false">SIN(X198)</f>
        <v>-0.539645449600218</v>
      </c>
      <c r="AX198" s="30" t="n">
        <f aca="false"> 385000.56 + (-20905355*COS(Q198) - 3699111*COS(2*S198-Q198) - 2955968*COS(2*S198) - 569925*COS(2*Q198) + (1-0.002516*M198)*48888*COS(R198) - 3149*COS(2*T198)  +246158*COS(2*S198-2*Q198) -(1-0.002516*M198)*152138*COS(2*S198-R198-Q198) -170733*COS(2*S198+Q198) -(1-0.002516*M198)*204586*COS(2*S198-R198) -(1-0.002516*M198)*129620*COS(R198-Q198)  + 108743*COS(S198) +(1-0.002516*M198)*104755*COS(R198+Q198) +10321*COS(2*S198-2*T198) +79661*COS(Q198-2*T198) -34782*COS(4*S198-Q198) -23210*COS(3*Q198)  -21636*COS(4*S198-2*Q198) +(1-0.002516*M198)*24208*COS(2*S198+R198-Q198) +(1-0.002516*M198)*30824*COS(2*S198+R198) -8379*COS(S198-Q198) -(1-0.002516*M198)*16675*COS(S198+R198)  -(1-0.002516*M198)*12831*COS(2*S198-R198+Q198) -10445*COS(2*S198+2*Q198) -11650*COS(4*S198) +14403*COS(2*S198-3*Q198) -(1-0.002516*M198)*7003*COS(R198-2*Q198)  + (1-0.002516*M198)*10056*COS(2*S198-R198-2*Q198) +6322*COS(S198+Q198) -(1-0.002516*M198)*(1-0.002516*M198)*9884*COS(2*S198-2*R198) +(1-0.002516*M198)*5751*COS(R198+2*Q198) -(1-0.002516*M198)*(1-0.002516*M198)*4950*COS(2*S198-2*R198-Q198)  +4130*COS(2*S198+Q198-2*T198) -(1-0.002516*M198)*3958*COS(4*S198-R198-Q198) +3258*COS(3*S198-Q198) +(1-0.002516*M198)*2616*COS(2*S198+R198+Q198) -(1-0.002516*M198)*1897*COS(4*S198-R198-2*Q198)  -(1-0.002516*M198)*(1-0.002516*M198)*2117*COS(2*R198-Q198) +(1-0.002516*M198)*(1-0.002516*M198)*2354*COS(2*S198+2*R198-Q198) -1423*COS(4*S198+Q198) -1117*COS(4*Q198) -(1-0.002516*M198)*1571*COS(4*S198-R198)  -1739*COS(S198-2*Q198) -4421*COS(2*Q198-2*T198) +(1-0.002516*M198)*(1-0.002516*M198)*1165*COS(2*R198+Q198) +8752*COS(2*S198-Q198-2*T198))/1000</f>
        <v>376182.192175014</v>
      </c>
      <c r="AY198" s="10" t="n">
        <f aca="false">AY197+1/8</f>
        <v>25.5</v>
      </c>
      <c r="AZ198" s="17" t="n">
        <f aca="false">AZ197+1</f>
        <v>197</v>
      </c>
      <c r="BA198" s="32" t="n">
        <f aca="false">ATAN(0.99664719*TAN($A$4*input!$E$2))</f>
        <v>-0.400219206115995</v>
      </c>
      <c r="BB198" s="32" t="n">
        <f aca="false">COS(BA198)</f>
        <v>0.920975608992155</v>
      </c>
      <c r="BC198" s="32" t="n">
        <f aca="false">0.99664719*SIN(BA198)</f>
        <v>-0.388313912533463</v>
      </c>
      <c r="BD198" s="32" t="n">
        <f aca="false">6378.14/AX198</f>
        <v>0.0169549227280611</v>
      </c>
      <c r="BE198" s="33" t="n">
        <f aca="false">MOD(N198-15*AH198,360)</f>
        <v>3.05596371104716</v>
      </c>
      <c r="BF198" s="27" t="n">
        <f aca="false">COS($A$4*AG198)*SIN($A$4*BE198)</f>
        <v>0.0522466268215191</v>
      </c>
      <c r="BG198" s="27" t="n">
        <f aca="false">COS($A$4*AG198)*COS($A$4*BE198)-BB198*BD198</f>
        <v>0.963019596906796</v>
      </c>
      <c r="BH198" s="27" t="n">
        <f aca="false">SIN($A$4*AG198)-BC198*BD198</f>
        <v>-0.192274102226335</v>
      </c>
      <c r="BI198" s="46" t="n">
        <f aca="false">SQRT(BF198^2+BG198^2+BH198^2)</f>
        <v>0.983415367191147</v>
      </c>
      <c r="BJ198" s="35" t="n">
        <f aca="false">AX198*BI198</f>
        <v>369943.348648562</v>
      </c>
    </row>
    <row r="199" customFormat="false" ht="15" hidden="false" customHeight="false" outlineLevel="0" collapsed="false">
      <c r="A199" s="20"/>
      <c r="B199" s="20"/>
      <c r="C199" s="15" t="n">
        <f aca="false">MOD(C198+3,24)</f>
        <v>15</v>
      </c>
      <c r="D199" s="17" t="n">
        <v>25</v>
      </c>
      <c r="E199" s="102" t="n">
        <f aca="false">input!$C$2</f>
        <v>10</v>
      </c>
      <c r="F199" s="102" t="n">
        <f aca="false">input!$D$2</f>
        <v>2022</v>
      </c>
      <c r="H199" s="39" t="n">
        <f aca="false">AM199</f>
        <v>43.8144639879515</v>
      </c>
      <c r="I199" s="48" t="n">
        <f aca="false">H199+1.02/(TAN($A$4*(H199+10.3/(H199+5.11)))*60)</f>
        <v>43.8320526430015</v>
      </c>
      <c r="J199" s="39" t="n">
        <f aca="false">100*(1+COS($A$4*AQ199))/2</f>
        <v>0.0421402042664332</v>
      </c>
      <c r="K199" s="48" t="n">
        <f aca="false">IF(AI199&gt;180,AT199-180,AT199+180)</f>
        <v>275.468911190416</v>
      </c>
      <c r="L199" s="10" t="n">
        <f aca="false">L198+1/8</f>
        <v>2459878.125</v>
      </c>
      <c r="M199" s="49" t="n">
        <f aca="false">(L199-2451545)/36525</f>
        <v>0.228148528405202</v>
      </c>
      <c r="N199" s="15" t="n">
        <f aca="false">MOD(280.46061837+360.98564736629*(L199-2451545)+0.000387933*M199^2-M199^3/38710000+$G$4,360)</f>
        <v>258.983347777277</v>
      </c>
      <c r="O199" s="18" t="n">
        <f aca="false">0.60643382+1336.85522467*M199 - 0.00000313*M199^2 - INT(0.60643382+1336.85522467*M199 - 0.00000313*M199^2)</f>
        <v>0.607985856344101</v>
      </c>
      <c r="P199" s="15" t="n">
        <f aca="false">22640*SIN(Q199)-4586*SIN(Q199-2*S199)+2370*SIN(2*S199)+769*SIN(2*Q199)-668*SIN(R199)-412*SIN(2*T199)-212*SIN(2*Q199-2*S199)-206*SIN(Q199+R199-2*S199)+192*SIN(Q199+2*S199)-165*SIN(R199-2*S199)-125*SIN(S199)-110*SIN(Q199+R199)+148*SIN(Q199-R199)-55*SIN(2*T199-2*S199)</f>
        <v>-16176.1653698008</v>
      </c>
      <c r="Q199" s="18" t="n">
        <f aca="false">2*PI()*(0.374897+1325.55241*M199 - INT(0.374897+1325.55241*M199))</f>
        <v>5.01227702998961</v>
      </c>
      <c r="R199" s="26" t="n">
        <f aca="false">2*PI()*(0.99312619+99.99735956*M199 - 0.00000044*M199^2 - INT(0.99312619+99.99735956*M199- 0.00000044*M199^2))</f>
        <v>5.07289675980032</v>
      </c>
      <c r="S199" s="26" t="n">
        <f aca="false">2*PI()*(0.827361+1236.853086*M199 - INT(0.827361+1236.853086*M199))</f>
        <v>0.085278057149807</v>
      </c>
      <c r="T199" s="26" t="n">
        <f aca="false">2*PI()*(0.259086+1342.227825*M199 - INT(0.259086+1342.227825*M199))</f>
        <v>3.05607258446279</v>
      </c>
      <c r="U199" s="26" t="n">
        <f aca="false">T199+(P199+412*SIN(2*T199)+541*SIN(R199))/206264.8062</f>
        <v>2.97485410385274</v>
      </c>
      <c r="V199" s="26" t="n">
        <f aca="false">T199-2*S199</f>
        <v>2.88551647016317</v>
      </c>
      <c r="W199" s="25" t="n">
        <f aca="false">-526*SIN(V199)+44*SIN(Q199+V199)-31*SIN(-Q199+V199)-23*SIN(R199+V199)+11*SIN(-R199+V199)-25*SIN(-2*Q199+T199)+21*SIN(-Q199+T199)</f>
        <v>-98.425974507711</v>
      </c>
      <c r="X199" s="26" t="n">
        <f aca="false">2*PI()*(O199+P199/1296000-INT(O199+P199/1296000))</f>
        <v>3.74166353676256</v>
      </c>
      <c r="Y199" s="26" t="n">
        <f aca="false">(18520*SIN(U199)+W199)/206264.8062</f>
        <v>0.0144245801169402</v>
      </c>
      <c r="Z199" s="26" t="n">
        <f aca="false">Y199*180/PI()</f>
        <v>0.826467561948996</v>
      </c>
      <c r="AA199" s="26" t="n">
        <f aca="false">COS(Y199)*COS(X199)</f>
        <v>-0.825209731662591</v>
      </c>
      <c r="AB199" s="26" t="n">
        <f aca="false">COS(Y199)*SIN(X199)</f>
        <v>-0.564642227156489</v>
      </c>
      <c r="AC199" s="26" t="n">
        <f aca="false">SIN(Y199)</f>
        <v>0.014424079905325</v>
      </c>
      <c r="AD199" s="26" t="n">
        <f aca="false">COS($A$4*(23.4393-46.815*M199/3600))*AB199-SIN($A$4*(23.4393-46.815*M199/3600))*AC199</f>
        <v>-0.523797595918117</v>
      </c>
      <c r="AE199" s="26" t="n">
        <f aca="false">SIN($A$4*(23.4393-46.815*M199/3600))*AB199+COS($A$4*(23.4393-46.815*M199/3600))*AC199</f>
        <v>-0.2113409029974</v>
      </c>
      <c r="AF199" s="26" t="n">
        <f aca="false">SQRT(1-AE199*AE199)</f>
        <v>0.977412411789539</v>
      </c>
      <c r="AG199" s="10" t="n">
        <f aca="false">ATAN(AE199/AF199)/$A$4</f>
        <v>-12.2009441615685</v>
      </c>
      <c r="AH199" s="26" t="n">
        <f aca="false">IF(24*ATAN(AD199/(AA199+AF199))/PI()&gt;0,24*ATAN(AD199/(AA199+AF199))/PI(),24*ATAN(AD199/(AA199+AF199))/PI()+24)</f>
        <v>14.1603417609883</v>
      </c>
      <c r="AI199" s="10" t="n">
        <f aca="false">IF(N199-15*AH199&gt;0,N199-15*AH199,360+N199-15*AH199)</f>
        <v>46.5782213624524</v>
      </c>
      <c r="AJ199" s="18" t="n">
        <f aca="false">0.950724+0.051818*COS(Q199)+0.009531*COS(2*S199-Q199)+0.007843*COS(2*S199)+0.002824*COS(2*Q199)+0.000857*COS(2*S199+Q199)+0.000533*COS(2*S199-R199)+0.000401*COS(2*S199-R199-Q199)+0.00032*COS(Q199-R199)-0.000271*COS(S199)</f>
        <v>0.972843701329104</v>
      </c>
      <c r="AK199" s="50" t="n">
        <f aca="false">ASIN(COS($A$4*$G$2)*COS($A$4*AG199)*COS($A$4*AI199)+SIN($A$4*$G$2)*SIN($A$4*AG199))/$A$4</f>
        <v>44.5078822860029</v>
      </c>
      <c r="AL199" s="18" t="n">
        <f aca="false">ASIN((0.9983271+0.0016764*COS($A$4*2*$G$2))*COS($A$4*AK199)*SIN($A$4*AJ199))/$A$4</f>
        <v>0.693418298051397</v>
      </c>
      <c r="AM199" s="18" t="n">
        <f aca="false">AK199-AL199</f>
        <v>43.8144639879515</v>
      </c>
      <c r="AN199" s="10" t="n">
        <f aca="false"> IF(280.4664567 + 360007.6982779*M199/10 + 0.03032028*M199^2/100 + M199^3/49931000&lt;0,MOD(280.4664567 + 360007.6982779*M199/10 + 0.03032028*M199^2/100 + M199^3/49931000+360,360),MOD(280.4664567 + 360007.6982779*M199/10 + 0.03032028*M199^2/100 + M199^3/49931000,360))</f>
        <v>213.989130147158</v>
      </c>
      <c r="AO199" s="27" t="n">
        <f aca="false"> AN199 + (1.9146 - 0.004817*M199 - 0.000014*M199^2)*SIN(R199)+ (0.019993 - 0.000101*M199)*SIN(2*R199)+ 0.00029*SIN(3*R199)</f>
        <v>212.185586997953</v>
      </c>
      <c r="AP199" s="18" t="n">
        <f aca="false">ACOS(COS(X199-$A$4*AO199)*COS(Y199))/$A$4</f>
        <v>2.34624710695539</v>
      </c>
      <c r="AQ199" s="25" t="n">
        <f aca="false">180 - AP199 -0.1468*(1-0.0549*SIN(R199))*SIN($A$4*AP199)/(1-0.0167*SIN($A$4*AO199))</f>
        <v>177.647490135916</v>
      </c>
      <c r="AR199" s="25" t="n">
        <f aca="false">SIN($A$4*AI199)</f>
        <v>0.726313450388706</v>
      </c>
      <c r="AS199" s="25" t="n">
        <f aca="false">COS($A$4*AI199)*SIN($A$4*$G$2) - TAN($A$4*AG199)*COS($A$4*$G$2)</f>
        <v>-0.06953829845506</v>
      </c>
      <c r="AT199" s="25" t="n">
        <f aca="false">IF(OR(AND(AR199*AS199&gt;0), AND(AR199&lt;0,AS199&gt;0)), MOD(ATAN2(AS199,AR199)/$A$4+360,360),  ATAN2(AS199,AR199)/$A$4)</f>
        <v>95.4689111904156</v>
      </c>
      <c r="AU199" s="29" t="n">
        <f aca="false">(1+SIN($A$4*H199)*SIN($A$4*AJ199))*120*ASIN(0.272481*SIN($A$4*AJ199))/$A$4</f>
        <v>32.1822521746191</v>
      </c>
      <c r="AV199" s="10" t="n">
        <f aca="false">COS(X199)</f>
        <v>-0.825295589186303</v>
      </c>
      <c r="AW199" s="10" t="n">
        <f aca="false">SIN(X199)</f>
        <v>-0.564700974383463</v>
      </c>
      <c r="AX199" s="30" t="n">
        <f aca="false"> 385000.56 + (-20905355*COS(Q199) - 3699111*COS(2*S199-Q199) - 2955968*COS(2*S199) - 569925*COS(2*Q199) + (1-0.002516*M199)*48888*COS(R199) - 3149*COS(2*T199)  +246158*COS(2*S199-2*Q199) -(1-0.002516*M199)*152138*COS(2*S199-R199-Q199) -170733*COS(2*S199+Q199) -(1-0.002516*M199)*204586*COS(2*S199-R199) -(1-0.002516*M199)*129620*COS(R199-Q199)  + 108743*COS(S199) +(1-0.002516*M199)*104755*COS(R199+Q199) +10321*COS(2*S199-2*T199) +79661*COS(Q199-2*T199) -34782*COS(4*S199-Q199) -23210*COS(3*Q199)  -21636*COS(4*S199-2*Q199) +(1-0.002516*M199)*24208*COS(2*S199+R199-Q199) +(1-0.002516*M199)*30824*COS(2*S199+R199) -8379*COS(S199-Q199) -(1-0.002516*M199)*16675*COS(S199+R199)  -(1-0.002516*M199)*12831*COS(2*S199-R199+Q199) -10445*COS(2*S199+2*Q199) -11650*COS(4*S199) +14403*COS(2*S199-3*Q199) -(1-0.002516*M199)*7003*COS(R199-2*Q199)  + (1-0.002516*M199)*10056*COS(2*S199-R199-2*Q199) +6322*COS(S199+Q199) -(1-0.002516*M199)*(1-0.002516*M199)*9884*COS(2*S199-2*R199) +(1-0.002516*M199)*5751*COS(R199+2*Q199) -(1-0.002516*M199)*(1-0.002516*M199)*4950*COS(2*S199-2*R199-Q199)  +4130*COS(2*S199+Q199-2*T199) -(1-0.002516*M199)*3958*COS(4*S199-R199-Q199) +3258*COS(3*S199-Q199) +(1-0.002516*M199)*2616*COS(2*S199+R199+Q199) -(1-0.002516*M199)*1897*COS(4*S199-R199-2*Q199)  -(1-0.002516*M199)*(1-0.002516*M199)*2117*COS(2*R199-Q199) +(1-0.002516*M199)*(1-0.002516*M199)*2354*COS(2*S199+2*R199-Q199) -1423*COS(4*S199+Q199) -1117*COS(4*Q199) -(1-0.002516*M199)*1571*COS(4*S199-R199)  -1739*COS(S199-2*Q199) -4421*COS(2*Q199-2*T199) +(1-0.002516*M199)*(1-0.002516*M199)*1165*COS(2*R199+Q199) +8752*COS(2*S199-Q199-2*T199))/1000</f>
        <v>375709.917307457</v>
      </c>
      <c r="AY199" s="10" t="n">
        <f aca="false">AY198+1/8</f>
        <v>25.625</v>
      </c>
      <c r="AZ199" s="17" t="n">
        <f aca="false">AZ198+1</f>
        <v>198</v>
      </c>
      <c r="BA199" s="32" t="n">
        <f aca="false">ATAN(0.99664719*TAN($A$4*input!$E$2))</f>
        <v>-0.400219206115995</v>
      </c>
      <c r="BB199" s="32" t="n">
        <f aca="false">COS(BA199)</f>
        <v>0.920975608992155</v>
      </c>
      <c r="BC199" s="32" t="n">
        <f aca="false">0.99664719*SIN(BA199)</f>
        <v>-0.388313912533463</v>
      </c>
      <c r="BD199" s="32" t="n">
        <f aca="false">6378.14/AX199</f>
        <v>0.0169762354044558</v>
      </c>
      <c r="BE199" s="33" t="n">
        <f aca="false">MOD(N199-15*AH199,360)</f>
        <v>46.5782213624524</v>
      </c>
      <c r="BF199" s="27" t="n">
        <f aca="false">COS($A$4*AG199)*SIN($A$4*BE199)</f>
        <v>0.709907781259607</v>
      </c>
      <c r="BG199" s="27" t="n">
        <f aca="false">COS($A$4*AG199)*COS($A$4*BE199)-BB199*BD199</f>
        <v>0.656203053122225</v>
      </c>
      <c r="BH199" s="27" t="n">
        <f aca="false">SIN($A$4*AG199)-BC199*BD199</f>
        <v>-0.204748794607407</v>
      </c>
      <c r="BI199" s="46" t="n">
        <f aca="false">SQRT(BF199^2+BG199^2+BH199^2)</f>
        <v>0.988176893938051</v>
      </c>
      <c r="BJ199" s="35" t="n">
        <f aca="false">AX199*BI199</f>
        <v>371267.859106605</v>
      </c>
    </row>
    <row r="200" customFormat="false" ht="15" hidden="false" customHeight="false" outlineLevel="0" collapsed="false">
      <c r="A200" s="20"/>
      <c r="B200" s="20"/>
      <c r="C200" s="15" t="n">
        <f aca="false">MOD(C199+3,24)</f>
        <v>18</v>
      </c>
      <c r="D200" s="17" t="n">
        <v>25</v>
      </c>
      <c r="E200" s="102" t="n">
        <f aca="false">input!$C$2</f>
        <v>10</v>
      </c>
      <c r="F200" s="102" t="n">
        <f aca="false">input!$D$2</f>
        <v>2022</v>
      </c>
      <c r="H200" s="39" t="n">
        <f aca="false">AM200</f>
        <v>3.96480945411627</v>
      </c>
      <c r="I200" s="48" t="n">
        <f aca="false">H200+1.02/(TAN($A$4*(H200+10.3/(H200+5.11)))*60)</f>
        <v>4.15529749613257</v>
      </c>
      <c r="J200" s="39" t="n">
        <f aca="false">100*(1+COS($A$4*AQ200))/2</f>
        <v>0.113792442754024</v>
      </c>
      <c r="K200" s="48" t="n">
        <f aca="false">IF(AI200&gt;180,AT200-180,AT200+180)</f>
        <v>258.039757367619</v>
      </c>
      <c r="L200" s="10" t="n">
        <f aca="false">L199+1/8</f>
        <v>2459878.25</v>
      </c>
      <c r="M200" s="49" t="n">
        <f aca="false">(L200-2451545)/36525</f>
        <v>0.228151950718686</v>
      </c>
      <c r="N200" s="15" t="n">
        <f aca="false">MOD(280.46061837+360.98564736629*(L200-2451545)+0.000387933*M200^2-M200^3/38710000+$G$4,360)</f>
        <v>304.106553699356</v>
      </c>
      <c r="O200" s="18" t="n">
        <f aca="false">0.60643382+1336.85522467*M200 - 0.00000313*M200^2 - INT(0.60643382+1336.85522467*M200 - 0.00000313*M200^2)</f>
        <v>0.61256099400066</v>
      </c>
      <c r="P200" s="15" t="n">
        <f aca="false">22640*SIN(Q200)-4586*SIN(Q200-2*S200)+2370*SIN(2*S200)+769*SIN(2*Q200)-668*SIN(R200)-412*SIN(2*T200)-212*SIN(2*Q200-2*S200)-206*SIN(Q200+R200-2*S200)+192*SIN(Q200+2*S200)-165*SIN(R200-2*S200)-125*SIN(S200)-110*SIN(Q200+R200)+148*SIN(Q200-R200)-55*SIN(2*T200-2*S200)</f>
        <v>-15890.8074560785</v>
      </c>
      <c r="Q200" s="18" t="n">
        <f aca="false">2*PI()*(0.374897+1325.55241*M200 - INT(0.374897+1325.55241*M200))</f>
        <v>5.04078042296176</v>
      </c>
      <c r="R200" s="26" t="n">
        <f aca="false">2*PI()*(0.99312619+99.99735956*M200 - 0.00000044*M200^2 - INT(0.99312619+99.99735956*M200- 0.00000044*M200^2))</f>
        <v>5.07504700599843</v>
      </c>
      <c r="S200" s="26" t="n">
        <f aca="false">2*PI()*(0.827361+1236.853086*M200 - INT(0.827361+1236.853086*M200))</f>
        <v>0.11187414591473</v>
      </c>
      <c r="T200" s="26" t="n">
        <f aca="false">2*PI()*(0.259086+1342.227825*M200 - INT(0.259086+1342.227825*M200))</f>
        <v>3.08493454938055</v>
      </c>
      <c r="U200" s="26" t="n">
        <f aca="false">T200+(P200+412*SIN(2*T200)+541*SIN(R200))/206264.8062</f>
        <v>3.00521563846153</v>
      </c>
      <c r="V200" s="26" t="n">
        <f aca="false">T200-2*S200</f>
        <v>2.86118625755109</v>
      </c>
      <c r="W200" s="25" t="n">
        <f aca="false">-526*SIN(V200)+44*SIN(Q200+V200)-31*SIN(-Q200+V200)-23*SIN(R200+V200)+11*SIN(-R200+V200)-25*SIN(-2*Q200+T200)+21*SIN(-Q200+T200)</f>
        <v>-111.015240552841</v>
      </c>
      <c r="X200" s="26" t="n">
        <f aca="false">2*PI()*(O200+P200/1296000-INT(O200+P200/1296000))</f>
        <v>3.77179342867043</v>
      </c>
      <c r="Y200" s="26" t="n">
        <f aca="false">(18520*SIN(U200)+W200)/206264.8062</f>
        <v>0.0116688119289962</v>
      </c>
      <c r="Z200" s="26" t="n">
        <f aca="false">Y200*180/PI()</f>
        <v>0.668573675463391</v>
      </c>
      <c r="AA200" s="26" t="n">
        <f aca="false">COS(Y200)*COS(X200)</f>
        <v>-0.807854204132577</v>
      </c>
      <c r="AB200" s="26" t="n">
        <f aca="false">COS(Y200)*SIN(X200)</f>
        <v>-0.589266857945812</v>
      </c>
      <c r="AC200" s="26" t="n">
        <f aca="false">SIN(Y200)</f>
        <v>0.0116685471242813</v>
      </c>
      <c r="AD200" s="26" t="n">
        <f aca="false">COS($A$4*(23.4393-46.815*M200/3600))*AB200-SIN($A$4*(23.4393-46.815*M200/3600))*AC200</f>
        <v>-0.545294801314517</v>
      </c>
      <c r="AE200" s="26" t="n">
        <f aca="false">SIN($A$4*(23.4393-46.815*M200/3600))*AB200+COS($A$4*(23.4393-46.815*M200/3600))*AC200</f>
        <v>-0.223663060259585</v>
      </c>
      <c r="AF200" s="26" t="n">
        <f aca="false">SQRT(1-AE200*AE200)</f>
        <v>0.974666525266625</v>
      </c>
      <c r="AG200" s="10" t="n">
        <f aca="false">ATAN(AE200/AF200)/$A$4</f>
        <v>-12.9242737517589</v>
      </c>
      <c r="AH200" s="26" t="n">
        <f aca="false">IF(24*ATAN(AD200/(AA200+AF200))/PI()&gt;0,24*ATAN(AD200/(AA200+AF200))/PI(),24*ATAN(AD200/(AA200+AF200))/PI()+24)</f>
        <v>14.2679346217641</v>
      </c>
      <c r="AI200" s="10" t="n">
        <f aca="false">IF(N200-15*AH200&gt;0,N200-15*AH200,360+N200-15*AH200)</f>
        <v>90.0875343728939</v>
      </c>
      <c r="AJ200" s="18" t="n">
        <f aca="false">0.950724+0.051818*COS(Q200)+0.009531*COS(2*S200-Q200)+0.007843*COS(2*S200)+0.002824*COS(2*Q200)+0.000857*COS(2*S200+Q200)+0.000533*COS(2*S200-R200)+0.000401*COS(2*S200-R200-Q200)+0.00032*COS(Q200-R200)-0.000271*COS(S200)</f>
        <v>0.974058722409857</v>
      </c>
      <c r="AK200" s="50" t="n">
        <f aca="false">ASIN(COS($A$4*$G$2)*COS($A$4*AG200)*COS($A$4*AI200)+SIN($A$4*$G$2)*SIN($A$4*AG200))/$A$4</f>
        <v>4.93476387577142</v>
      </c>
      <c r="AL200" s="18" t="n">
        <f aca="false">ASIN((0.9983271+0.0016764*COS($A$4*2*$G$2))*COS($A$4*AK200)*SIN($A$4*AJ200))/$A$4</f>
        <v>0.969954421655148</v>
      </c>
      <c r="AM200" s="18" t="n">
        <f aca="false">AK200-AL200</f>
        <v>3.96480945411627</v>
      </c>
      <c r="AN200" s="10" t="n">
        <f aca="false"> IF(280.4664567 + 360007.6982779*M200/10 + 0.03032028*M200^2/100 + M200^3/49931000&lt;0,MOD(280.4664567 + 360007.6982779*M200/10 + 0.03032028*M200^2/100 + M200^3/49931000+360,360),MOD(280.4664567 + 360007.6982779*M200/10 + 0.03032028*M200^2/100 + M200^3/49931000,360))</f>
        <v>214.112336067645</v>
      </c>
      <c r="AO200" s="27" t="n">
        <f aca="false"> AN200 + (1.9146 - 0.004817*M200 - 0.000014*M200^2)*SIN(R200)+ (0.019993 - 0.000101*M200)*SIN(2*R200)+ 0.00029*SIN(3*R200)</f>
        <v>212.310182418555</v>
      </c>
      <c r="AP200" s="18" t="n">
        <f aca="false">ACOS(COS(X200-$A$4*AO200)*COS(Y200))/$A$4</f>
        <v>3.85597905384382</v>
      </c>
      <c r="AQ200" s="25" t="n">
        <f aca="false">180 - AP200 -0.1468*(1-0.0549*SIN(R200))*SIN($A$4*AP200)/(1-0.0167*SIN($A$4*AO200))</f>
        <v>176.133733927866</v>
      </c>
      <c r="AR200" s="25" t="n">
        <f aca="false">SIN($A$4*AI200)</f>
        <v>0.999998832970311</v>
      </c>
      <c r="AS200" s="25" t="n">
        <f aca="false">COS($A$4*AI200)*SIN($A$4*$G$2) - TAN($A$4*AG200)*COS($A$4*$G$2)</f>
        <v>0.211831173858388</v>
      </c>
      <c r="AT200" s="25" t="n">
        <f aca="false">IF(OR(AND(AR200*AS200&gt;0), AND(AR200&lt;0,AS200&gt;0)), MOD(ATAN2(AS200,AR200)/$A$4+360,360),  ATAN2(AS200,AR200)/$A$4)</f>
        <v>78.0397573676185</v>
      </c>
      <c r="AU200" s="29" t="n">
        <f aca="false">(1+SIN($A$4*H200)*SIN($A$4*AJ200))*120*ASIN(0.272481*SIN($A$4*AJ200))/$A$4</f>
        <v>31.8855141040412</v>
      </c>
      <c r="AV200" s="10" t="n">
        <f aca="false">COS(X200)</f>
        <v>-0.807909206440617</v>
      </c>
      <c r="AW200" s="10" t="n">
        <f aca="false">SIN(X200)</f>
        <v>-0.589306977854915</v>
      </c>
      <c r="AX200" s="30" t="n">
        <f aca="false"> 385000.56 + (-20905355*COS(Q200) - 3699111*COS(2*S200-Q200) - 2955968*COS(2*S200) - 569925*COS(2*Q200) + (1-0.002516*M200)*48888*COS(R200) - 3149*COS(2*T200)  +246158*COS(2*S200-2*Q200) -(1-0.002516*M200)*152138*COS(2*S200-R200-Q200) -170733*COS(2*S200+Q200) -(1-0.002516*M200)*204586*COS(2*S200-R200) -(1-0.002516*M200)*129620*COS(R200-Q200)  + 108743*COS(S200) +(1-0.002516*M200)*104755*COS(R200+Q200) +10321*COS(2*S200-2*T200) +79661*COS(Q200-2*T200) -34782*COS(4*S200-Q200) -23210*COS(3*Q200)  -21636*COS(4*S200-2*Q200) +(1-0.002516*M200)*24208*COS(2*S200+R200-Q200) +(1-0.002516*M200)*30824*COS(2*S200+R200) -8379*COS(S200-Q200) -(1-0.002516*M200)*16675*COS(S200+R200)  -(1-0.002516*M200)*12831*COS(2*S200-R200+Q200) -10445*COS(2*S200+2*Q200) -11650*COS(4*S200) +14403*COS(2*S200-3*Q200) -(1-0.002516*M200)*7003*COS(R200-2*Q200)  + (1-0.002516*M200)*10056*COS(2*S200-R200-2*Q200) +6322*COS(S200+Q200) -(1-0.002516*M200)*(1-0.002516*M200)*9884*COS(2*S200-2*R200) +(1-0.002516*M200)*5751*COS(R200+2*Q200) -(1-0.002516*M200)*(1-0.002516*M200)*4950*COS(2*S200-2*R200-Q200)  +4130*COS(2*S200+Q200-2*T200) -(1-0.002516*M200)*3958*COS(4*S200-R200-Q200) +3258*COS(3*S200-Q200) +(1-0.002516*M200)*2616*COS(2*S200+R200+Q200) -(1-0.002516*M200)*1897*COS(4*S200-R200-2*Q200)  -(1-0.002516*M200)*(1-0.002516*M200)*2117*COS(2*R200-Q200) +(1-0.002516*M200)*(1-0.002516*M200)*2354*COS(2*S200+2*R200-Q200) -1423*COS(4*S200+Q200) -1117*COS(4*Q200) -(1-0.002516*M200)*1571*COS(4*S200-R200)  -1739*COS(S200-2*Q200) -4421*COS(2*Q200-2*T200) +(1-0.002516*M200)*(1-0.002516*M200)*1165*COS(2*R200+Q200) +8752*COS(2*S200-Q200-2*T200))/1000</f>
        <v>375250.156652518</v>
      </c>
      <c r="AY200" s="10" t="n">
        <f aca="false">AY199+1/8</f>
        <v>25.75</v>
      </c>
      <c r="AZ200" s="17" t="n">
        <f aca="false">AZ199+1</f>
        <v>199</v>
      </c>
      <c r="BA200" s="32" t="n">
        <f aca="false">ATAN(0.99664719*TAN($A$4*input!$E$2))</f>
        <v>-0.400219206115995</v>
      </c>
      <c r="BB200" s="32" t="n">
        <f aca="false">COS(BA200)</f>
        <v>0.920975608992155</v>
      </c>
      <c r="BC200" s="32" t="n">
        <f aca="false">0.99664719*SIN(BA200)</f>
        <v>-0.388313912533463</v>
      </c>
      <c r="BD200" s="32" t="n">
        <f aca="false">6378.14/AX200</f>
        <v>0.0169970348764069</v>
      </c>
      <c r="BE200" s="33" t="n">
        <f aca="false">MOD(N200-15*AH200,360)</f>
        <v>90.0875343728939</v>
      </c>
      <c r="BF200" s="27" t="n">
        <f aca="false">COS($A$4*AG200)*SIN($A$4*BE200)</f>
        <v>0.974665387801854</v>
      </c>
      <c r="BG200" s="27" t="n">
        <f aca="false">COS($A$4*AG200)*COS($A$4*BE200)-BB200*BD200</f>
        <v>-0.0171429134370124</v>
      </c>
      <c r="BH200" s="27" t="n">
        <f aca="false">SIN($A$4*AG200)-BC200*BD200</f>
        <v>-0.217062875145259</v>
      </c>
      <c r="BI200" s="46" t="n">
        <f aca="false">SQRT(BF200^2+BG200^2+BH200^2)</f>
        <v>0.998690537366993</v>
      </c>
      <c r="BJ200" s="35" t="n">
        <f aca="false">AX200*BI200</f>
        <v>374758.780594352</v>
      </c>
    </row>
    <row r="201" customFormat="false" ht="15" hidden="false" customHeight="false" outlineLevel="0" collapsed="false">
      <c r="A201" s="20"/>
      <c r="B201" s="20"/>
      <c r="C201" s="15" t="n">
        <f aca="false">MOD(C200+3,24)</f>
        <v>21</v>
      </c>
      <c r="D201" s="17" t="n">
        <v>25</v>
      </c>
      <c r="E201" s="102" t="n">
        <f aca="false">input!$C$2</f>
        <v>10</v>
      </c>
      <c r="F201" s="102" t="n">
        <f aca="false">input!$D$2</f>
        <v>2022</v>
      </c>
      <c r="H201" s="39" t="n">
        <f aca="false">AM201</f>
        <v>-32.4692161725567</v>
      </c>
      <c r="I201" s="48" t="n">
        <f aca="false">H201+1.02/(TAN($A$4*(H201+10.3/(H201+5.11)))*60)</f>
        <v>-32.4955488698082</v>
      </c>
      <c r="J201" s="39" t="n">
        <f aca="false">100*(1+COS($A$4*AQ201))/2</f>
        <v>0.225359431910593</v>
      </c>
      <c r="K201" s="48" t="n">
        <f aca="false">IF(AI201&gt;180,AT201-180,AT201+180)</f>
        <v>235.775309206811</v>
      </c>
      <c r="L201" s="10" t="n">
        <f aca="false">L200+1/8</f>
        <v>2459878.375</v>
      </c>
      <c r="M201" s="49" t="n">
        <f aca="false">(L201-2451545)/36525</f>
        <v>0.22815537303217</v>
      </c>
      <c r="N201" s="15" t="n">
        <f aca="false">MOD(280.46061837+360.98564736629*(L201-2451545)+0.000387933*M201^2-M201^3/38710000+$G$4,360)</f>
        <v>349.229759620503</v>
      </c>
      <c r="O201" s="18" t="n">
        <f aca="false">0.60643382+1336.85522467*M201 - 0.00000313*M201^2 - INT(0.60643382+1336.85522467*M201 - 0.00000313*M201^2)</f>
        <v>0.617136131657162</v>
      </c>
      <c r="P201" s="15" t="n">
        <f aca="false">22640*SIN(Q201)-4586*SIN(Q201-2*S201)+2370*SIN(2*S201)+769*SIN(2*Q201)-668*SIN(R201)-412*SIN(2*T201)-212*SIN(2*Q201-2*S201)-206*SIN(Q201+R201-2*S201)+192*SIN(Q201+2*S201)-165*SIN(R201-2*S201)-125*SIN(S201)-110*SIN(Q201+R201)+148*SIN(Q201-R201)-55*SIN(2*T201-2*S201)</f>
        <v>-15590.3764966107</v>
      </c>
      <c r="Q201" s="18" t="n">
        <f aca="false">2*PI()*(0.374897+1325.55241*M201 - INT(0.374897+1325.55241*M201))</f>
        <v>5.06928381593356</v>
      </c>
      <c r="R201" s="26" t="n">
        <f aca="false">2*PI()*(0.99312619+99.99735956*M201 - 0.00000044*M201^2 - INT(0.99312619+99.99735956*M201- 0.00000044*M201^2))</f>
        <v>5.07719725219651</v>
      </c>
      <c r="S201" s="26" t="n">
        <f aca="false">2*PI()*(0.827361+1236.853086*M201 - INT(0.827361+1236.853086*M201))</f>
        <v>0.138470234679295</v>
      </c>
      <c r="T201" s="26" t="n">
        <f aca="false">2*PI()*(0.259086+1342.227825*M201 - INT(0.259086+1342.227825*M201))</f>
        <v>3.11379651429795</v>
      </c>
      <c r="U201" s="26" t="n">
        <f aca="false">T201+(P201+412*SIN(2*T201)+541*SIN(R201))/206264.8062</f>
        <v>3.03565101295563</v>
      </c>
      <c r="V201" s="26" t="n">
        <f aca="false">T201-2*S201</f>
        <v>2.83685604493936</v>
      </c>
      <c r="W201" s="25" t="n">
        <f aca="false">-526*SIN(V201)+44*SIN(Q201+V201)-31*SIN(-Q201+V201)-23*SIN(R201+V201)+11*SIN(-R201+V201)-25*SIN(-2*Q201+T201)+21*SIN(-Q201+T201)</f>
        <v>-123.585583510134</v>
      </c>
      <c r="X201" s="26" t="n">
        <f aca="false">2*PI()*(O201+P201/1296000-INT(O201+P201/1296000))</f>
        <v>3.80199639676587</v>
      </c>
      <c r="Y201" s="26" t="n">
        <f aca="false">(18520*SIN(U201)+W201)/206264.8062</f>
        <v>0.0088952909283338</v>
      </c>
      <c r="Z201" s="26" t="n">
        <f aca="false">Y201*180/PI()</f>
        <v>0.509662627734535</v>
      </c>
      <c r="AA201" s="26" t="n">
        <f aca="false">COS(Y201)*COS(X201)</f>
        <v>-0.789713380831381</v>
      </c>
      <c r="AB201" s="26" t="n">
        <f aca="false">COS(Y201)*SIN(X201)</f>
        <v>-0.613411486705404</v>
      </c>
      <c r="AC201" s="26" t="n">
        <f aca="false">SIN(Y201)</f>
        <v>0.0088951736203687</v>
      </c>
      <c r="AD201" s="26" t="n">
        <f aca="false">COS($A$4*(23.4393-46.815*M201/3600))*AB201-SIN($A$4*(23.4393-46.815*M201/3600))*AC201</f>
        <v>-0.566344507834115</v>
      </c>
      <c r="AE201" s="26" t="n">
        <f aca="false">SIN($A$4*(23.4393-46.815*M201/3600))*AB201+COS($A$4*(23.4393-46.815*M201/3600))*AC201</f>
        <v>-0.235810675292711</v>
      </c>
      <c r="AF201" s="26" t="n">
        <f aca="false">SQRT(1-AE201*AE201)</f>
        <v>0.971799014929525</v>
      </c>
      <c r="AG201" s="10" t="n">
        <f aca="false">ATAN(AE201/AF201)/$A$4</f>
        <v>-13.6394141149316</v>
      </c>
      <c r="AH201" s="26" t="n">
        <f aca="false">IF(24*ATAN(AD201/(AA201+AF201))/PI()&gt;0,24*ATAN(AD201/(AA201+AF201))/PI(),24*ATAN(AD201/(AA201+AF201))/PI()+24)</f>
        <v>14.3764182430998</v>
      </c>
      <c r="AI201" s="10" t="n">
        <f aca="false">IF(N201-15*AH201&gt;0,N201-15*AH201,360+N201-15*AH201)</f>
        <v>133.583485974006</v>
      </c>
      <c r="AJ201" s="18" t="n">
        <f aca="false">0.950724+0.051818*COS(Q201)+0.009531*COS(2*S201-Q201)+0.007843*COS(2*S201)+0.002824*COS(2*Q201)+0.000857*COS(2*S201+Q201)+0.000533*COS(2*S201-R201)+0.000401*COS(2*S201-R201-Q201)+0.00032*COS(Q201-R201)-0.000271*COS(S201)</f>
        <v>0.975242152730466</v>
      </c>
      <c r="AK201" s="50" t="n">
        <f aca="false">ASIN(COS($A$4*$G$2)*COS($A$4*AG201)*COS($A$4*AI201)+SIN($A$4*$G$2)*SIN($A$4*AG201))/$A$4</f>
        <v>-31.6393605660933</v>
      </c>
      <c r="AL201" s="18" t="n">
        <f aca="false">ASIN((0.9983271+0.0016764*COS($A$4*2*$G$2))*COS($A$4*AK201)*SIN($A$4*AJ201))/$A$4</f>
        <v>0.829855606463364</v>
      </c>
      <c r="AM201" s="18" t="n">
        <f aca="false">AK201-AL201</f>
        <v>-32.4692161725567</v>
      </c>
      <c r="AN201" s="10" t="n">
        <f aca="false"> IF(280.4664567 + 360007.6982779*M201/10 + 0.03032028*M201^2/100 + M201^3/49931000&lt;0,MOD(280.4664567 + 360007.6982779*M201/10 + 0.03032028*M201^2/100 + M201^3/49931000+360,360),MOD(280.4664567 + 360007.6982779*M201/10 + 0.03032028*M201^2/100 + M201^3/49931000,360))</f>
        <v>214.235541988131</v>
      </c>
      <c r="AO201" s="27" t="n">
        <f aca="false"> AN201 + (1.9146 - 0.004817*M201 - 0.000014*M201^2)*SIN(R201)+ (0.019993 - 0.000101*M201)*SIN(2*R201)+ 0.00029*SIN(3*R201)</f>
        <v>212.434786350265</v>
      </c>
      <c r="AP201" s="18" t="n">
        <f aca="false">ACOS(COS(X201-$A$4*AO201)*COS(Y201))/$A$4</f>
        <v>5.42747233084511</v>
      </c>
      <c r="AQ201" s="25" t="n">
        <f aca="false">180 - AP201 -0.1468*(1-0.0549*SIN(R201))*SIN($A$4*AP201)/(1-0.0167*SIN($A$4*AO201))</f>
        <v>174.558059949088</v>
      </c>
      <c r="AR201" s="25" t="n">
        <f aca="false">SIN($A$4*AI201)</f>
        <v>0.724370596345606</v>
      </c>
      <c r="AS201" s="25" t="n">
        <f aca="false">COS($A$4*AI201)*SIN($A$4*$G$2) - TAN($A$4*AG201)*COS($A$4*$G$2)</f>
        <v>0.492738211127518</v>
      </c>
      <c r="AT201" s="25" t="n">
        <f aca="false">IF(OR(AND(AR201*AS201&gt;0), AND(AR201&lt;0,AS201&gt;0)), MOD(ATAN2(AS201,AR201)/$A$4+360,360),  ATAN2(AS201,AR201)/$A$4)</f>
        <v>55.7753092068111</v>
      </c>
      <c r="AU201" s="29" t="n">
        <f aca="false">(1+SIN($A$4*H201)*SIN($A$4*AJ201))*120*ASIN(0.272481*SIN($A$4*AJ201))/$A$4</f>
        <v>31.5954097318555</v>
      </c>
      <c r="AV201" s="10" t="n">
        <f aca="false">COS(X201)</f>
        <v>-0.789744625371223</v>
      </c>
      <c r="AW201" s="10" t="n">
        <f aca="false">SIN(X201)</f>
        <v>-0.613435755965747</v>
      </c>
      <c r="AX201" s="30" t="n">
        <f aca="false"> 385000.56 + (-20905355*COS(Q201) - 3699111*COS(2*S201-Q201) - 2955968*COS(2*S201) - 569925*COS(2*Q201) + (1-0.002516*M201)*48888*COS(R201) - 3149*COS(2*T201)  +246158*COS(2*S201-2*Q201) -(1-0.002516*M201)*152138*COS(2*S201-R201-Q201) -170733*COS(2*S201+Q201) -(1-0.002516*M201)*204586*COS(2*S201-R201) -(1-0.002516*M201)*129620*COS(R201-Q201)  + 108743*COS(S201) +(1-0.002516*M201)*104755*COS(R201+Q201) +10321*COS(2*S201-2*T201) +79661*COS(Q201-2*T201) -34782*COS(4*S201-Q201) -23210*COS(3*Q201)  -21636*COS(4*S201-2*Q201) +(1-0.002516*M201)*24208*COS(2*S201+R201-Q201) +(1-0.002516*M201)*30824*COS(2*S201+R201) -8379*COS(S201-Q201) -(1-0.002516*M201)*16675*COS(S201+R201)  -(1-0.002516*M201)*12831*COS(2*S201-R201+Q201) -10445*COS(2*S201+2*Q201) -11650*COS(4*S201) +14403*COS(2*S201-3*Q201) -(1-0.002516*M201)*7003*COS(R201-2*Q201)  + (1-0.002516*M201)*10056*COS(2*S201-R201-2*Q201) +6322*COS(S201+Q201) -(1-0.002516*M201)*(1-0.002516*M201)*9884*COS(2*S201-2*R201) +(1-0.002516*M201)*5751*COS(R201+2*Q201) -(1-0.002516*M201)*(1-0.002516*M201)*4950*COS(2*S201-2*R201-Q201)  +4130*COS(2*S201+Q201-2*T201) -(1-0.002516*M201)*3958*COS(4*S201-R201-Q201) +3258*COS(3*S201-Q201) +(1-0.002516*M201)*2616*COS(2*S201+R201+Q201) -(1-0.002516*M201)*1897*COS(4*S201-R201-2*Q201)  -(1-0.002516*M201)*(1-0.002516*M201)*2117*COS(2*R201-Q201) +(1-0.002516*M201)*(1-0.002516*M201)*2354*COS(2*S201+2*R201-Q201) -1423*COS(4*S201+Q201) -1117*COS(4*Q201) -(1-0.002516*M201)*1571*COS(4*S201-R201)  -1739*COS(S201-2*Q201) -4421*COS(2*Q201-2*T201) +(1-0.002516*M201)*(1-0.002516*M201)*1165*COS(2*R201+Q201) +8752*COS(2*S201-Q201-2*T201))/1000</f>
        <v>374803.316945788</v>
      </c>
      <c r="AY201" s="10" t="n">
        <f aca="false">AY200+1/8</f>
        <v>25.875</v>
      </c>
      <c r="AZ201" s="17" t="n">
        <f aca="false">AZ200+1</f>
        <v>200</v>
      </c>
      <c r="BA201" s="32" t="n">
        <f aca="false">ATAN(0.99664719*TAN($A$4*input!$E$2))</f>
        <v>-0.400219206115995</v>
      </c>
      <c r="BB201" s="32" t="n">
        <f aca="false">COS(BA201)</f>
        <v>0.920975608992155</v>
      </c>
      <c r="BC201" s="32" t="n">
        <f aca="false">0.99664719*SIN(BA201)</f>
        <v>-0.388313912533463</v>
      </c>
      <c r="BD201" s="32" t="n">
        <f aca="false">6378.14/AX201</f>
        <v>0.0170172987047565</v>
      </c>
      <c r="BE201" s="33" t="n">
        <f aca="false">MOD(N201-15*AH201,360)</f>
        <v>133.583485974006</v>
      </c>
      <c r="BF201" s="27" t="n">
        <f aca="false">COS($A$4*AG201)*SIN($A$4*BE201)</f>
        <v>0.703942631972572</v>
      </c>
      <c r="BG201" s="27" t="n">
        <f aca="false">COS($A$4*AG201)*COS($A$4*BE201)-BB201*BD201</f>
        <v>-0.6856412448974</v>
      </c>
      <c r="BH201" s="27" t="n">
        <f aca="false">SIN($A$4*AG201)-BC201*BD201</f>
        <v>-0.229202621451916</v>
      </c>
      <c r="BI201" s="46" t="n">
        <f aca="false">SQRT(BF201^2+BG201^2+BH201^2)</f>
        <v>1.00904558246561</v>
      </c>
      <c r="BJ201" s="35" t="n">
        <f aca="false">AX201*BI201</f>
        <v>378193.631257605</v>
      </c>
    </row>
    <row r="202" customFormat="false" ht="15" hidden="false" customHeight="false" outlineLevel="0" collapsed="false">
      <c r="A202" s="20"/>
      <c r="B202" s="20"/>
      <c r="C202" s="15" t="n">
        <f aca="false">MOD(C201+3,24)</f>
        <v>0</v>
      </c>
      <c r="D202" s="36" t="n">
        <v>26</v>
      </c>
      <c r="E202" s="102" t="n">
        <f aca="false">input!$C$2</f>
        <v>10</v>
      </c>
      <c r="F202" s="102" t="n">
        <f aca="false">input!$D$2</f>
        <v>2022</v>
      </c>
      <c r="H202" s="39" t="n">
        <f aca="false">AM202</f>
        <v>-53.1375802098207</v>
      </c>
      <c r="I202" s="48" t="n">
        <f aca="false">H202+1.02/(TAN($A$4*(H202+10.3/(H202+5.11)))*60)</f>
        <v>-53.1502276162348</v>
      </c>
      <c r="J202" s="39" t="n">
        <f aca="false">100*(1+COS($A$4*AQ202))/2</f>
        <v>0.377055238178931</v>
      </c>
      <c r="K202" s="48" t="n">
        <f aca="false">IF(AI202&gt;180,AT202-180,AT202+180)</f>
        <v>184.677690816576</v>
      </c>
      <c r="L202" s="10" t="n">
        <f aca="false">L201+1/8</f>
        <v>2459878.5</v>
      </c>
      <c r="M202" s="49" t="n">
        <f aca="false">(L202-2451545)/36525</f>
        <v>0.228158795345654</v>
      </c>
      <c r="N202" s="15" t="n">
        <f aca="false">MOD(280.46061837+360.98564736629*(L202-2451545)+0.000387933*M202^2-M202^3/38710000+$G$4,360)</f>
        <v>34.3529655416496</v>
      </c>
      <c r="O202" s="18" t="n">
        <f aca="false">0.60643382+1336.85522467*M202 - 0.00000313*M202^2 - INT(0.60643382+1336.85522467*M202 - 0.00000313*M202^2)</f>
        <v>0.621711269313778</v>
      </c>
      <c r="P202" s="15" t="n">
        <f aca="false">22640*SIN(Q202)-4586*SIN(Q202-2*S202)+2370*SIN(2*S202)+769*SIN(2*Q202)-668*SIN(R202)-412*SIN(2*T202)-212*SIN(2*Q202-2*S202)-206*SIN(Q202+R202-2*S202)+192*SIN(Q202+2*S202)-165*SIN(R202-2*S202)-125*SIN(S202)-110*SIN(Q202+R202)+148*SIN(Q202-R202)-55*SIN(2*T202-2*S202)</f>
        <v>-15275.272853687</v>
      </c>
      <c r="Q202" s="18" t="n">
        <f aca="false">2*PI()*(0.374897+1325.55241*M202 - INT(0.374897+1325.55241*M202))</f>
        <v>5.09778720890572</v>
      </c>
      <c r="R202" s="26" t="n">
        <f aca="false">2*PI()*(0.99312619+99.99735956*M202 - 0.00000044*M202^2 - INT(0.99312619+99.99735956*M202- 0.00000044*M202^2))</f>
        <v>5.07934749839461</v>
      </c>
      <c r="S202" s="26" t="n">
        <f aca="false">2*PI()*(0.827361+1236.853086*M202 - INT(0.827361+1236.853086*M202))</f>
        <v>0.165066323444575</v>
      </c>
      <c r="T202" s="26" t="n">
        <f aca="false">2*PI()*(0.259086+1342.227825*M202 - INT(0.259086+1342.227825*M202))</f>
        <v>3.14265847921571</v>
      </c>
      <c r="U202" s="26" t="n">
        <f aca="false">T202+(P202+412*SIN(2*T202)+541*SIN(R202))/206264.8062</f>
        <v>3.06615790365959</v>
      </c>
      <c r="V202" s="26" t="n">
        <f aca="false">T202-2*S202</f>
        <v>2.81252583232656</v>
      </c>
      <c r="W202" s="25" t="n">
        <f aca="false">-526*SIN(V202)+44*SIN(Q202+V202)-31*SIN(-Q202+V202)-23*SIN(R202+V202)+11*SIN(-R202+V202)-25*SIN(-2*Q202+T202)+21*SIN(-Q202+T202)</f>
        <v>-136.127561198645</v>
      </c>
      <c r="X202" s="26" t="n">
        <f aca="false">2*PI()*(O202+P202/1296000-INT(O202+P202/1296000))</f>
        <v>3.83227050003881</v>
      </c>
      <c r="Y202" s="26" t="n">
        <f aca="false">(18520*SIN(U202)+W202)/206264.8062</f>
        <v>0.00610671031857388</v>
      </c>
      <c r="Z202" s="26" t="n">
        <f aca="false">Y202*180/PI()</f>
        <v>0.349888727963274</v>
      </c>
      <c r="AA202" s="26" t="n">
        <f aca="false">COS(Y202)*COS(X202)</f>
        <v>-0.770799990851453</v>
      </c>
      <c r="AB202" s="26" t="n">
        <f aca="false">COS(Y202)*SIN(X202)</f>
        <v>-0.637047943765652</v>
      </c>
      <c r="AC202" s="26" t="n">
        <f aca="false">SIN(Y202)</f>
        <v>0.00610667236349512</v>
      </c>
      <c r="AD202" s="26" t="n">
        <f aca="false">COS($A$4*(23.4393-46.815*M202/3600))*AB202-SIN($A$4*(23.4393-46.815*M202/3600))*AC202</f>
        <v>-0.586921948760401</v>
      </c>
      <c r="AE202" s="26" t="n">
        <f aca="false">SIN($A$4*(23.4393-46.815*M202/3600))*AB202+COS($A$4*(23.4393-46.815*M202/3600))*AC202</f>
        <v>-0.247770055024197</v>
      </c>
      <c r="AF202" s="26" t="n">
        <f aca="false">SQRT(1-AE202*AE202)</f>
        <v>0.968818868433778</v>
      </c>
      <c r="AG202" s="10" t="n">
        <f aca="false">ATAN(AE202/AF202)/$A$4</f>
        <v>-14.3455946729114</v>
      </c>
      <c r="AH202" s="26" t="n">
        <f aca="false">IF(24*ATAN(AD202/(AA202+AF202))/PI()&gt;0,24*ATAN(AD202/(AA202+AF202))/PI(),24*ATAN(AD202/(AA202+AF202))/PI()+24)</f>
        <v>14.4858189650239</v>
      </c>
      <c r="AI202" s="10" t="n">
        <f aca="false">IF(N202-15*AH202&gt;0,N202-15*AH202,360+N202-15*AH202)</f>
        <v>177.065681066291</v>
      </c>
      <c r="AJ202" s="18" t="n">
        <f aca="false">0.950724+0.051818*COS(Q202)+0.009531*COS(2*S202-Q202)+0.007843*COS(2*S202)+0.002824*COS(2*Q202)+0.000857*COS(2*S202+Q202)+0.000533*COS(2*S202-R202)+0.000401*COS(2*S202-R202-Q202)+0.00032*COS(Q202-R202)-0.000271*COS(S202)</f>
        <v>0.976392650825096</v>
      </c>
      <c r="AK202" s="50" t="n">
        <f aca="false">ASIN(COS($A$4*$G$2)*COS($A$4*AG202)*COS($A$4*AI202)+SIN($A$4*$G$2)*SIN($A$4*AG202))/$A$4</f>
        <v>-52.5441064915938</v>
      </c>
      <c r="AL202" s="18" t="n">
        <f aca="false">ASIN((0.9983271+0.0016764*COS($A$4*2*$G$2))*COS($A$4*AK202)*SIN($A$4*AJ202))/$A$4</f>
        <v>0.593473718226861</v>
      </c>
      <c r="AM202" s="18" t="n">
        <f aca="false">AK202-AL202</f>
        <v>-53.1375802098207</v>
      </c>
      <c r="AN202" s="10" t="n">
        <f aca="false"> IF(280.4664567 + 360007.6982779*M202/10 + 0.03032028*M202^2/100 + M202^3/49931000&lt;0,MOD(280.4664567 + 360007.6982779*M202/10 + 0.03032028*M202^2/100 + M202^3/49931000+360,360),MOD(280.4664567 + 360007.6982779*M202/10 + 0.03032028*M202^2/100 + M202^3/49931000,360))</f>
        <v>214.358747908616</v>
      </c>
      <c r="AO202" s="27" t="n">
        <f aca="false"> AN202 + (1.9146 - 0.004817*M202 - 0.000014*M202^2)*SIN(R202)+ (0.019993 - 0.000101*M202)*SIN(2*R202)+ 0.00029*SIN(3*R202)</f>
        <v>212.559398787569</v>
      </c>
      <c r="AP202" s="18" t="n">
        <f aca="false">ACOS(COS(X202-$A$4*AO202)*COS(Y202))/$A$4</f>
        <v>7.02220538477911</v>
      </c>
      <c r="AQ202" s="25" t="n">
        <f aca="false">180 - AP202 -0.1468*(1-0.0549*SIN(R202))*SIN($A$4*AP202)/(1-0.0167*SIN($A$4*AO202))</f>
        <v>172.959096093868</v>
      </c>
      <c r="AR202" s="25" t="n">
        <f aca="false">SIN($A$4*AI202)</f>
        <v>0.0511911422768181</v>
      </c>
      <c r="AS202" s="25" t="n">
        <f aca="false">COS($A$4*AI202)*SIN($A$4*$G$2) - TAN($A$4*AG202)*COS($A$4*$G$2)</f>
        <v>0.625632844246325</v>
      </c>
      <c r="AT202" s="25" t="n">
        <f aca="false">IF(OR(AND(AR202*AS202&gt;0), AND(AR202&lt;0,AS202&gt;0)), MOD(ATAN2(AS202,AR202)/$A$4+360,360),  ATAN2(AS202,AR202)/$A$4)</f>
        <v>4.67769081657571</v>
      </c>
      <c r="AU202" s="29" t="n">
        <f aca="false">(1+SIN($A$4*H202)*SIN($A$4*AJ202))*120*ASIN(0.272481*SIN($A$4*AJ202))/$A$4</f>
        <v>31.4891359387677</v>
      </c>
      <c r="AV202" s="10" t="n">
        <f aca="false">COS(X202)</f>
        <v>-0.770814363377073</v>
      </c>
      <c r="AW202" s="10" t="n">
        <f aca="false">SIN(X202)</f>
        <v>-0.637059822317808</v>
      </c>
      <c r="AX202" s="30" t="n">
        <f aca="false"> 385000.56 + (-20905355*COS(Q202) - 3699111*COS(2*S202-Q202) - 2955968*COS(2*S202) - 569925*COS(2*Q202) + (1-0.002516*M202)*48888*COS(R202) - 3149*COS(2*T202)  +246158*COS(2*S202-2*Q202) -(1-0.002516*M202)*152138*COS(2*S202-R202-Q202) -170733*COS(2*S202+Q202) -(1-0.002516*M202)*204586*COS(2*S202-R202) -(1-0.002516*M202)*129620*COS(R202-Q202)  + 108743*COS(S202) +(1-0.002516*M202)*104755*COS(R202+Q202) +10321*COS(2*S202-2*T202) +79661*COS(Q202-2*T202) -34782*COS(4*S202-Q202) -23210*COS(3*Q202)  -21636*COS(4*S202-2*Q202) +(1-0.002516*M202)*24208*COS(2*S202+R202-Q202) +(1-0.002516*M202)*30824*COS(2*S202+R202) -8379*COS(S202-Q202) -(1-0.002516*M202)*16675*COS(S202+R202)  -(1-0.002516*M202)*12831*COS(2*S202-R202+Q202) -10445*COS(2*S202+2*Q202) -11650*COS(4*S202) +14403*COS(2*S202-3*Q202) -(1-0.002516*M202)*7003*COS(R202-2*Q202)  + (1-0.002516*M202)*10056*COS(2*S202-R202-2*Q202) +6322*COS(S202+Q202) -(1-0.002516*M202)*(1-0.002516*M202)*9884*COS(2*S202-2*R202) +(1-0.002516*M202)*5751*COS(R202+2*Q202) -(1-0.002516*M202)*(1-0.002516*M202)*4950*COS(2*S202-2*R202-Q202)  +4130*COS(2*S202+Q202-2*T202) -(1-0.002516*M202)*3958*COS(4*S202-R202-Q202) +3258*COS(3*S202-Q202) +(1-0.002516*M202)*2616*COS(2*S202+R202+Q202) -(1-0.002516*M202)*1897*COS(4*S202-R202-2*Q202)  -(1-0.002516*M202)*(1-0.002516*M202)*2117*COS(2*R202-Q202) +(1-0.002516*M202)*(1-0.002516*M202)*2354*COS(2*S202+2*R202-Q202) -1423*COS(4*S202+Q202) -1117*COS(4*Q202) -(1-0.002516*M202)*1571*COS(4*S202-R202)  -1739*COS(S202-2*Q202) -4421*COS(2*Q202-2*T202) +(1-0.002516*M202)*(1-0.002516*M202)*1165*COS(2*R202+Q202) +8752*COS(2*S202-Q202-2*T202))/1000</f>
        <v>374369.778087335</v>
      </c>
      <c r="AY202" s="10" t="n">
        <f aca="false">AY201+1/8</f>
        <v>26</v>
      </c>
      <c r="AZ202" s="17" t="n">
        <f aca="false">AZ201+1</f>
        <v>201</v>
      </c>
      <c r="BA202" s="32" t="n">
        <f aca="false">ATAN(0.99664719*TAN($A$4*input!$E$2))</f>
        <v>-0.400219206115995</v>
      </c>
      <c r="BB202" s="32" t="n">
        <f aca="false">COS(BA202)</f>
        <v>0.920975608992155</v>
      </c>
      <c r="BC202" s="32" t="n">
        <f aca="false">0.99664719*SIN(BA202)</f>
        <v>-0.388313912533463</v>
      </c>
      <c r="BD202" s="32" t="n">
        <f aca="false">6378.14/AX202</f>
        <v>0.0170370055846551</v>
      </c>
      <c r="BE202" s="33" t="n">
        <f aca="false">MOD(N202-15*AH202,360)</f>
        <v>177.065681066291</v>
      </c>
      <c r="BF202" s="27" t="n">
        <f aca="false">COS($A$4*AG202)*SIN($A$4*BE202)</f>
        <v>0.0495949445344594</v>
      </c>
      <c r="BG202" s="27" t="n">
        <f aca="false">COS($A$4*AG202)*COS($A$4*BE202)-BB202*BD202</f>
        <v>-0.983239291371798</v>
      </c>
      <c r="BH202" s="27" t="n">
        <f aca="false">SIN($A$4*AG202)-BC202*BD202</f>
        <v>-0.241154348727765</v>
      </c>
      <c r="BI202" s="46" t="n">
        <f aca="false">SQRT(BF202^2+BG202^2+BH202^2)</f>
        <v>1.01359488087253</v>
      </c>
      <c r="BJ202" s="35" t="n">
        <f aca="false">AX202*BI202</f>
        <v>379459.290622709</v>
      </c>
    </row>
    <row r="203" customFormat="false" ht="15" hidden="false" customHeight="false" outlineLevel="0" collapsed="false">
      <c r="A203" s="20"/>
      <c r="B203" s="20"/>
      <c r="C203" s="15" t="n">
        <f aca="false">MOD(C202+3,24)</f>
        <v>3</v>
      </c>
      <c r="D203" s="17" t="n">
        <v>26</v>
      </c>
      <c r="E203" s="102" t="n">
        <f aca="false">input!$C$2</f>
        <v>10</v>
      </c>
      <c r="F203" s="102" t="n">
        <f aca="false">input!$D$2</f>
        <v>2022</v>
      </c>
      <c r="H203" s="39" t="n">
        <f aca="false">AM203</f>
        <v>-35.8454588667845</v>
      </c>
      <c r="I203" s="48" t="n">
        <f aca="false">H203+1.02/(TAN($A$4*(H203+10.3/(H203+5.11)))*60)</f>
        <v>-35.8687029505829</v>
      </c>
      <c r="J203" s="39" t="n">
        <f aca="false">100*(1+COS($A$4*AQ203))/2</f>
        <v>0.569046659092309</v>
      </c>
      <c r="K203" s="48" t="n">
        <f aca="false">IF(AI203&gt;180,AT203-180,AT203+180)</f>
        <v>129.948735101508</v>
      </c>
      <c r="L203" s="10" t="n">
        <f aca="false">L202+1/8</f>
        <v>2459878.625</v>
      </c>
      <c r="M203" s="49" t="n">
        <f aca="false">(L203-2451545)/36525</f>
        <v>0.228162217659138</v>
      </c>
      <c r="N203" s="15" t="n">
        <f aca="false">MOD(280.46061837+360.98564736629*(L203-2451545)+0.000387933*M203^2-M203^3/38710000+$G$4,360)</f>
        <v>79.4761714627966</v>
      </c>
      <c r="O203" s="18" t="n">
        <f aca="false">0.60643382+1336.85522467*M203 - 0.00000313*M203^2 - INT(0.60643382+1336.85522467*M203 - 0.00000313*M203^2)</f>
        <v>0.62628640697028</v>
      </c>
      <c r="P203" s="15" t="n">
        <f aca="false">22640*SIN(Q203)-4586*SIN(Q203-2*S203)+2370*SIN(2*S203)+769*SIN(2*Q203)-668*SIN(R203)-412*SIN(2*T203)-212*SIN(2*Q203-2*S203)-206*SIN(Q203+R203-2*S203)+192*SIN(Q203+2*S203)-165*SIN(R203-2*S203)-125*SIN(S203)-110*SIN(Q203+R203)+148*SIN(Q203-R203)-55*SIN(2*T203-2*S203)</f>
        <v>-14945.9147574699</v>
      </c>
      <c r="Q203" s="18" t="n">
        <f aca="false">2*PI()*(0.374897+1325.55241*M203 - INT(0.374897+1325.55241*M203))</f>
        <v>5.12629060187752</v>
      </c>
      <c r="R203" s="26" t="n">
        <f aca="false">2*PI()*(0.99312619+99.99735956*M203 - 0.00000044*M203^2 - INT(0.99312619+99.99735956*M203- 0.00000044*M203^2))</f>
        <v>5.08149774459272</v>
      </c>
      <c r="S203" s="26" t="n">
        <f aca="false">2*PI()*(0.827361+1236.853086*M203 - INT(0.827361+1236.853086*M203))</f>
        <v>0.191662412209141</v>
      </c>
      <c r="T203" s="26" t="n">
        <f aca="false">2*PI()*(0.259086+1342.227825*M203 - INT(0.259086+1342.227825*M203))</f>
        <v>3.17152044413347</v>
      </c>
      <c r="U203" s="26" t="n">
        <f aca="false">T203+(P203+412*SIN(2*T203)+541*SIN(R203))/206264.8062</f>
        <v>3.09673389903943</v>
      </c>
      <c r="V203" s="26" t="n">
        <f aca="false">T203-2*S203</f>
        <v>2.78819561971519</v>
      </c>
      <c r="W203" s="25" t="n">
        <f aca="false">-526*SIN(V203)+44*SIN(Q203+V203)-31*SIN(-Q203+V203)-23*SIN(R203+V203)+11*SIN(-R203+V203)-25*SIN(-2*Q203+T203)+21*SIN(-Q203+T203)</f>
        <v>-148.631595431776</v>
      </c>
      <c r="X203" s="26" t="n">
        <f aca="false">2*PI()*(O203+P203/1296000-INT(O203+P203/1296000))</f>
        <v>3.86261371085077</v>
      </c>
      <c r="Y203" s="26" t="n">
        <f aca="false">(18520*SIN(U203)+W203)/206264.8062</f>
        <v>0.00330581812377929</v>
      </c>
      <c r="Z203" s="26" t="n">
        <f aca="false">Y203*180/PI()</f>
        <v>0.18940942633041</v>
      </c>
      <c r="AA203" s="26" t="n">
        <f aca="false">COS(Y203)*COS(X203)</f>
        <v>-0.751127963505631</v>
      </c>
      <c r="AB203" s="26" t="n">
        <f aca="false">COS(Y203)*SIN(X203)</f>
        <v>-0.660148357603218</v>
      </c>
      <c r="AC203" s="26" t="n">
        <f aca="false">SIN(Y203)</f>
        <v>0.00330581210254701</v>
      </c>
      <c r="AD203" s="26" t="n">
        <f aca="false">COS($A$4*(23.4393-46.815*M203/3600))*AB203-SIN($A$4*(23.4393-46.815*M203/3600))*AC203</f>
        <v>-0.607002653111765</v>
      </c>
      <c r="AE203" s="26" t="n">
        <f aca="false">SIN($A$4*(23.4393-46.815*M203/3600))*AB203+COS($A$4*(23.4393-46.815*M203/3600))*AC203</f>
        <v>-0.259527573785835</v>
      </c>
      <c r="AF203" s="26" t="n">
        <f aca="false">SQRT(1-AE203*AE203)</f>
        <v>0.965735698027591</v>
      </c>
      <c r="AG203" s="10" t="n">
        <f aca="false">ATAN(AE203/AF203)/$A$4</f>
        <v>-15.0420318993636</v>
      </c>
      <c r="AH203" s="26" t="n">
        <f aca="false">IF(24*ATAN(AD203/(AA203+AF203))/PI()&gt;0,24*ATAN(AD203/(AA203+AF203))/PI(),24*ATAN(AD203/(AA203+AF203))/PI()+24)</f>
        <v>14.5961615029527</v>
      </c>
      <c r="AI203" s="10" t="n">
        <f aca="false">IF(N203-15*AH203&gt;0,N203-15*AH203,360+N203-15*AH203)</f>
        <v>220.533748918506</v>
      </c>
      <c r="AJ203" s="18" t="n">
        <f aca="false">0.950724+0.051818*COS(Q203)+0.009531*COS(2*S203-Q203)+0.007843*COS(2*S203)+0.002824*COS(2*Q203)+0.000857*COS(2*S203+Q203)+0.000533*COS(2*S203-R203)+0.000401*COS(2*S203-R203-Q203)+0.00032*COS(Q203-R203)-0.000271*COS(S203)</f>
        <v>0.977508948120884</v>
      </c>
      <c r="AK203" s="50" t="n">
        <f aca="false">ASIN(COS($A$4*$G$2)*COS($A$4*AG203)*COS($A$4*AI203)+SIN($A$4*$G$2)*SIN($A$4*AG203))/$A$4</f>
        <v>-35.0455965238623</v>
      </c>
      <c r="AL203" s="18" t="n">
        <f aca="false">ASIN((0.9983271+0.0016764*COS($A$4*2*$G$2))*COS($A$4*AK203)*SIN($A$4*AJ203))/$A$4</f>
        <v>0.799862342922227</v>
      </c>
      <c r="AM203" s="18" t="n">
        <f aca="false">AK203-AL203</f>
        <v>-35.8454588667845</v>
      </c>
      <c r="AN203" s="10" t="n">
        <f aca="false"> IF(280.4664567 + 360007.6982779*M203/10 + 0.03032028*M203^2/100 + M203^3/49931000&lt;0,MOD(280.4664567 + 360007.6982779*M203/10 + 0.03032028*M203^2/100 + M203^3/49931000+360,360),MOD(280.4664567 + 360007.6982779*M203/10 + 0.03032028*M203^2/100 + M203^3/49931000,360))</f>
        <v>214.481953829103</v>
      </c>
      <c r="AO203" s="27" t="n">
        <f aca="false"> AN203 + (1.9146 - 0.004817*M203 - 0.000014*M203^2)*SIN(R203)+ (0.019993 - 0.000101*M203)*SIN(2*R203)+ 0.00029*SIN(3*R203)</f>
        <v>212.684019724916</v>
      </c>
      <c r="AP203" s="18" t="n">
        <f aca="false">ACOS(COS(X203-$A$4*AO203)*COS(Y203))/$A$4</f>
        <v>8.62950698660339</v>
      </c>
      <c r="AQ203" s="25" t="n">
        <f aca="false">180 - AP203 -0.1468*(1-0.0549*SIN(R203))*SIN($A$4*AP203)/(1-0.0167*SIN($A$4*AO203))</f>
        <v>171.347545606142</v>
      </c>
      <c r="AR203" s="25" t="n">
        <f aca="false">SIN($A$4*AI203)</f>
        <v>-0.649895837372793</v>
      </c>
      <c r="AS203" s="25" t="n">
        <f aca="false">COS($A$4*AI203)*SIN($A$4*$G$2) - TAN($A$4*AG203)*COS($A$4*$G$2)</f>
        <v>0.544337192670302</v>
      </c>
      <c r="AT203" s="25" t="n">
        <f aca="false">IF(OR(AND(AR203*AS203&gt;0), AND(AR203&lt;0,AS203&gt;0)), MOD(ATAN2(AS203,AR203)/$A$4+360,360),  ATAN2(AS203,AR203)/$A$4)</f>
        <v>309.948735101508</v>
      </c>
      <c r="AU203" s="29" t="n">
        <f aca="false">(1+SIN($A$4*H203)*SIN($A$4*AJ203))*120*ASIN(0.272481*SIN($A$4*AJ203))/$A$4</f>
        <v>31.6415794738591</v>
      </c>
      <c r="AV203" s="10" t="n">
        <f aca="false">COS(X203)</f>
        <v>-0.751132067850307</v>
      </c>
      <c r="AW203" s="10" t="n">
        <f aca="false">SIN(X203)</f>
        <v>-0.660151964813346</v>
      </c>
      <c r="AX203" s="30" t="n">
        <f aca="false"> 385000.56 + (-20905355*COS(Q203) - 3699111*COS(2*S203-Q203) - 2955968*COS(2*S203) - 569925*COS(2*Q203) + (1-0.002516*M203)*48888*COS(R203) - 3149*COS(2*T203)  +246158*COS(2*S203-2*Q203) -(1-0.002516*M203)*152138*COS(2*S203-R203-Q203) -170733*COS(2*S203+Q203) -(1-0.002516*M203)*204586*COS(2*S203-R203) -(1-0.002516*M203)*129620*COS(R203-Q203)  + 108743*COS(S203) +(1-0.002516*M203)*104755*COS(R203+Q203) +10321*COS(2*S203-2*T203) +79661*COS(Q203-2*T203) -34782*COS(4*S203-Q203) -23210*COS(3*Q203)  -21636*COS(4*S203-2*Q203) +(1-0.002516*M203)*24208*COS(2*S203+R203-Q203) +(1-0.002516*M203)*30824*COS(2*S203+R203) -8379*COS(S203-Q203) -(1-0.002516*M203)*16675*COS(S203+R203)  -(1-0.002516*M203)*12831*COS(2*S203-R203+Q203) -10445*COS(2*S203+2*Q203) -11650*COS(4*S203) +14403*COS(2*S203-3*Q203) -(1-0.002516*M203)*7003*COS(R203-2*Q203)  + (1-0.002516*M203)*10056*COS(2*S203-R203-2*Q203) +6322*COS(S203+Q203) -(1-0.002516*M203)*(1-0.002516*M203)*9884*COS(2*S203-2*R203) +(1-0.002516*M203)*5751*COS(R203+2*Q203) -(1-0.002516*M203)*(1-0.002516*M203)*4950*COS(2*S203-2*R203-Q203)  +4130*COS(2*S203+Q203-2*T203) -(1-0.002516*M203)*3958*COS(4*S203-R203-Q203) +3258*COS(3*S203-Q203) +(1-0.002516*M203)*2616*COS(2*S203+R203+Q203) -(1-0.002516*M203)*1897*COS(4*S203-R203-2*Q203)  -(1-0.002516*M203)*(1-0.002516*M203)*2117*COS(2*R203-Q203) +(1-0.002516*M203)*(1-0.002516*M203)*2354*COS(2*S203+2*R203-Q203) -1423*COS(4*S203+Q203) -1117*COS(4*Q203) -(1-0.002516*M203)*1571*COS(4*S203-R203)  -1739*COS(S203-2*Q203) -4421*COS(2*Q203-2*T203) +(1-0.002516*M203)*(1-0.002516*M203)*1165*COS(2*R203+Q203) +8752*COS(2*S203-Q203-2*T203))/1000</f>
        <v>373949.89257788</v>
      </c>
      <c r="AY203" s="10" t="n">
        <f aca="false">AY202+1/8</f>
        <v>26.125</v>
      </c>
      <c r="AZ203" s="17" t="n">
        <f aca="false">AZ202+1</f>
        <v>202</v>
      </c>
      <c r="BA203" s="32" t="n">
        <f aca="false">ATAN(0.99664719*TAN($A$4*input!$E$2))</f>
        <v>-0.400219206115995</v>
      </c>
      <c r="BB203" s="32" t="n">
        <f aca="false">COS(BA203)</f>
        <v>0.920975608992155</v>
      </c>
      <c r="BC203" s="32" t="n">
        <f aca="false">0.99664719*SIN(BA203)</f>
        <v>-0.388313912533463</v>
      </c>
      <c r="BD203" s="32" t="n">
        <f aca="false">6378.14/AX203</f>
        <v>0.0170561353983319</v>
      </c>
      <c r="BE203" s="33" t="n">
        <f aca="false">MOD(N203-15*AH203,360)</f>
        <v>220.533748918506</v>
      </c>
      <c r="BF203" s="27" t="n">
        <f aca="false">COS($A$4*AG203)*SIN($A$4*BE203)</f>
        <v>-0.62762761015044</v>
      </c>
      <c r="BG203" s="27" t="n">
        <f aca="false">COS($A$4*AG203)*COS($A$4*BE203)-BB203*BD203</f>
        <v>-0.749689906677312</v>
      </c>
      <c r="BH203" s="27" t="n">
        <f aca="false">SIN($A$4*AG203)-BC203*BD203</f>
        <v>-0.252904439116608</v>
      </c>
      <c r="BI203" s="46" t="n">
        <f aca="false">SQRT(BF203^2+BG203^2+BH203^2)</f>
        <v>1.00990694052565</v>
      </c>
      <c r="BJ203" s="35" t="n">
        <f aca="false">AX203*BI203</f>
        <v>377654.591923222</v>
      </c>
    </row>
    <row r="204" customFormat="false" ht="15" hidden="false" customHeight="false" outlineLevel="0" collapsed="false">
      <c r="A204" s="20"/>
      <c r="B204" s="20"/>
      <c r="C204" s="15" t="n">
        <f aca="false">MOD(C203+3,24)</f>
        <v>6</v>
      </c>
      <c r="D204" s="17" t="n">
        <v>26</v>
      </c>
      <c r="E204" s="102" t="n">
        <f aca="false">input!$C$2</f>
        <v>10</v>
      </c>
      <c r="F204" s="102" t="n">
        <f aca="false">input!$D$2</f>
        <v>2022</v>
      </c>
      <c r="H204" s="39" t="n">
        <f aca="false">AM204</f>
        <v>-0.227167651755813</v>
      </c>
      <c r="I204" s="48" t="n">
        <f aca="false">H204+1.02/(TAN($A$4*(H204+10.3/(H204+5.11)))*60)</f>
        <v>0.290123196977811</v>
      </c>
      <c r="J204" s="39" t="n">
        <f aca="false">100*(1+COS($A$4*AQ204))/2</f>
        <v>0.801451873572484</v>
      </c>
      <c r="K204" s="48" t="n">
        <f aca="false">IF(AI204&gt;180,AT204-180,AT204+180)</f>
        <v>106.794611564762</v>
      </c>
      <c r="L204" s="10" t="n">
        <f aca="false">L203+1/8</f>
        <v>2459878.75</v>
      </c>
      <c r="M204" s="49" t="n">
        <f aca="false">(L204-2451545)/36525</f>
        <v>0.228165639972622</v>
      </c>
      <c r="N204" s="15" t="n">
        <f aca="false">MOD(280.46061837+360.98564736629*(L204-2451545)+0.000387933*M204^2-M204^3/38710000+$G$4,360)</f>
        <v>124.599377384409</v>
      </c>
      <c r="O204" s="18" t="n">
        <f aca="false">0.60643382+1336.85522467*M204 - 0.00000313*M204^2 - INT(0.60643382+1336.85522467*M204 - 0.00000313*M204^2)</f>
        <v>0.630861544626839</v>
      </c>
      <c r="P204" s="15" t="n">
        <f aca="false">22640*SIN(Q204)-4586*SIN(Q204-2*S204)+2370*SIN(2*S204)+769*SIN(2*Q204)-668*SIN(R204)-412*SIN(2*T204)-212*SIN(2*Q204-2*S204)-206*SIN(Q204+R204-2*S204)+192*SIN(Q204+2*S204)-165*SIN(R204-2*S204)-125*SIN(S204)-110*SIN(Q204+R204)+148*SIN(Q204-R204)-55*SIN(2*T204-2*S204)</f>
        <v>-14602.7373500913</v>
      </c>
      <c r="Q204" s="18" t="n">
        <f aca="false">2*PI()*(0.374897+1325.55241*M204 - INT(0.374897+1325.55241*M204))</f>
        <v>5.15479399484967</v>
      </c>
      <c r="R204" s="26" t="n">
        <f aca="false">2*PI()*(0.99312619+99.99735956*M204 - 0.00000044*M204^2 - INT(0.99312619+99.99735956*M204- 0.00000044*M204^2))</f>
        <v>5.0836479907908</v>
      </c>
      <c r="S204" s="26" t="n">
        <f aca="false">2*PI()*(0.827361+1236.853086*M204 - INT(0.827361+1236.853086*M204))</f>
        <v>0.218258500974063</v>
      </c>
      <c r="T204" s="26" t="n">
        <f aca="false">2*PI()*(0.259086+1342.227825*M204 - INT(0.259086+1342.227825*M204))</f>
        <v>3.20038240905087</v>
      </c>
      <c r="U204" s="26" t="n">
        <f aca="false">T204+(P204+412*SIN(2*T204)+541*SIN(R204))/206264.8062</f>
        <v>3.12737650561681</v>
      </c>
      <c r="V204" s="26" t="n">
        <f aca="false">T204-2*S204</f>
        <v>2.76386540710274</v>
      </c>
      <c r="W204" s="25" t="n">
        <f aca="false">-526*SIN(V204)+44*SIN(Q204+V204)-31*SIN(-Q204+V204)-23*SIN(R204+V204)+11*SIN(-R204+V204)-25*SIN(-2*Q204+T204)+21*SIN(-Q204+T204)</f>
        <v>-161.087983976338</v>
      </c>
      <c r="X204" s="26" t="n">
        <f aca="false">2*PI()*(O204+P204/1296000-INT(O204+P204/1296000))</f>
        <v>3.89302391957424</v>
      </c>
      <c r="Y204" s="26" t="n">
        <f aca="false">(18520*SIN(U204)+W204)/206264.8062</f>
        <v>0.000495412718505948</v>
      </c>
      <c r="Z204" s="26" t="n">
        <f aca="false">Y204*180/PI()</f>
        <v>0.0283850578874935</v>
      </c>
      <c r="AA204" s="26" t="n">
        <f aca="false">COS(Y204)*COS(X204)</f>
        <v>-0.730712423724891</v>
      </c>
      <c r="AB204" s="26" t="n">
        <f aca="false">COS(Y204)*SIN(X204)</f>
        <v>-0.682685219102005</v>
      </c>
      <c r="AC204" s="26" t="n">
        <f aca="false">SIN(Y204)</f>
        <v>0.000495412698240781</v>
      </c>
      <c r="AD204" s="26" t="n">
        <f aca="false">COS($A$4*(23.4393-46.815*M204/3600))*AB204-SIN($A$4*(23.4393-46.815*M204/3600))*AC204</f>
        <v>-0.626562502744838</v>
      </c>
      <c r="AE204" s="26" t="n">
        <f aca="false">SIN($A$4*(23.4393-46.815*M204/3600))*AB204+COS($A$4*(23.4393-46.815*M204/3600))*AC204</f>
        <v>-0.27106970315441</v>
      </c>
      <c r="AF204" s="26" t="n">
        <f aca="false">SQRT(1-AE204*AE204)</f>
        <v>0.962559720761149</v>
      </c>
      <c r="AG204" s="10" t="n">
        <f aca="false">ATAN(AE204/AF204)/$A$4</f>
        <v>-15.7279303309336</v>
      </c>
      <c r="AH204" s="26" t="n">
        <f aca="false">IF(24*ATAN(AD204/(AA204+AF204))/PI()&gt;0,24*ATAN(AD204/(AA204+AF204))/PI(),24*ATAN(AD204/(AA204+AF204))/PI()+24)</f>
        <v>14.7074687577786</v>
      </c>
      <c r="AI204" s="10" t="n">
        <f aca="false">IF(N204-15*AH204&gt;0,N204-15*AH204,360+N204-15*AH204)</f>
        <v>263.98734601773</v>
      </c>
      <c r="AJ204" s="18" t="n">
        <f aca="false">0.950724+0.051818*COS(Q204)+0.009531*COS(2*S204-Q204)+0.007843*COS(2*S204)+0.002824*COS(2*Q204)+0.000857*COS(2*S204+Q204)+0.000533*COS(2*S204-R204)+0.000401*COS(2*S204-R204-Q204)+0.00032*COS(Q204-R204)-0.000271*COS(S204)</f>
        <v>0.978589852157367</v>
      </c>
      <c r="AK204" s="50" t="n">
        <f aca="false">ASIN(COS($A$4*$G$2)*COS($A$4*AG204)*COS($A$4*AI204)+SIN($A$4*$G$2)*SIN($A$4*AG204))/$A$4</f>
        <v>0.750840670074212</v>
      </c>
      <c r="AL204" s="18" t="n">
        <f aca="false">ASIN((0.9983271+0.0016764*COS($A$4*2*$G$2))*COS($A$4*AK204)*SIN($A$4*AJ204))/$A$4</f>
        <v>0.978008321830025</v>
      </c>
      <c r="AM204" s="18" t="n">
        <f aca="false">AK204-AL204</f>
        <v>-0.227167651755813</v>
      </c>
      <c r="AN204" s="10" t="n">
        <f aca="false"> IF(280.4664567 + 360007.6982779*M204/10 + 0.03032028*M204^2/100 + M204^3/49931000&lt;0,MOD(280.4664567 + 360007.6982779*M204/10 + 0.03032028*M204^2/100 + M204^3/49931000+360,360),MOD(280.4664567 + 360007.6982779*M204/10 + 0.03032028*M204^2/100 + M204^3/49931000,360))</f>
        <v>214.60515974959</v>
      </c>
      <c r="AO204" s="27" t="n">
        <f aca="false"> AN204 + (1.9146 - 0.004817*M204 - 0.000014*M204^2)*SIN(R204)+ (0.019993 - 0.000101*M204)*SIN(2*R204)+ 0.00029*SIN(3*R204)</f>
        <v>212.808649156704</v>
      </c>
      <c r="AP204" s="18" t="n">
        <f aca="false">ACOS(COS(X204-$A$4*AO204)*COS(Y204))/$A$4</f>
        <v>10.2452298797705</v>
      </c>
      <c r="AQ204" s="25" t="n">
        <f aca="false">180 - AP204 -0.1468*(1-0.0549*SIN(R204))*SIN($A$4*AP204)/(1-0.0167*SIN($A$4*AO204))</f>
        <v>169.727570370344</v>
      </c>
      <c r="AR204" s="25" t="n">
        <f aca="false">SIN($A$4*AI204)</f>
        <v>-0.994498785620824</v>
      </c>
      <c r="AS204" s="25" t="n">
        <f aca="false">COS($A$4*AI204)*SIN($A$4*$G$2) - TAN($A$4*AG204)*COS($A$4*$G$2)</f>
        <v>0.300154834614528</v>
      </c>
      <c r="AT204" s="25" t="n">
        <f aca="false">IF(OR(AND(AR204*AS204&gt;0), AND(AR204&lt;0,AS204&gt;0)), MOD(ATAN2(AS204,AR204)/$A$4+360,360),  ATAN2(AS204,AR204)/$A$4)</f>
        <v>286.794611564762</v>
      </c>
      <c r="AU204" s="29" t="n">
        <f aca="false">(1+SIN($A$4*H204)*SIN($A$4*AJ204))*120*ASIN(0.272481*SIN($A$4*AJ204))/$A$4</f>
        <v>31.9940502033285</v>
      </c>
      <c r="AV204" s="10" t="n">
        <f aca="false">COS(X204)</f>
        <v>-0.73071251339565</v>
      </c>
      <c r="AW204" s="10" t="n">
        <f aca="false">SIN(X204)</f>
        <v>-0.682685302879015</v>
      </c>
      <c r="AX204" s="30" t="n">
        <f aca="false"> 385000.56 + (-20905355*COS(Q204) - 3699111*COS(2*S204-Q204) - 2955968*COS(2*S204) - 569925*COS(2*Q204) + (1-0.002516*M204)*48888*COS(R204) - 3149*COS(2*T204)  +246158*COS(2*S204-2*Q204) -(1-0.002516*M204)*152138*COS(2*S204-R204-Q204) -170733*COS(2*S204+Q204) -(1-0.002516*M204)*204586*COS(2*S204-R204) -(1-0.002516*M204)*129620*COS(R204-Q204)  + 108743*COS(S204) +(1-0.002516*M204)*104755*COS(R204+Q204) +10321*COS(2*S204-2*T204) +79661*COS(Q204-2*T204) -34782*COS(4*S204-Q204) -23210*COS(3*Q204)  -21636*COS(4*S204-2*Q204) +(1-0.002516*M204)*24208*COS(2*S204+R204-Q204) +(1-0.002516*M204)*30824*COS(2*S204+R204) -8379*COS(S204-Q204) -(1-0.002516*M204)*16675*COS(S204+R204)  -(1-0.002516*M204)*12831*COS(2*S204-R204+Q204) -10445*COS(2*S204+2*Q204) -11650*COS(4*S204) +14403*COS(2*S204-3*Q204) -(1-0.002516*M204)*7003*COS(R204-2*Q204)  + (1-0.002516*M204)*10056*COS(2*S204-R204-2*Q204) +6322*COS(S204+Q204) -(1-0.002516*M204)*(1-0.002516*M204)*9884*COS(2*S204-2*R204) +(1-0.002516*M204)*5751*COS(R204+2*Q204) -(1-0.002516*M204)*(1-0.002516*M204)*4950*COS(2*S204-2*R204-Q204)  +4130*COS(2*S204+Q204-2*T204) -(1-0.002516*M204)*3958*COS(4*S204-R204-Q204) +3258*COS(3*S204-Q204) +(1-0.002516*M204)*2616*COS(2*S204+R204+Q204) -(1-0.002516*M204)*1897*COS(4*S204-R204-2*Q204)  -(1-0.002516*M204)*(1-0.002516*M204)*2117*COS(2*R204-Q204) +(1-0.002516*M204)*(1-0.002516*M204)*2354*COS(2*S204+2*R204-Q204) -1423*COS(4*S204+Q204) -1117*COS(4*Q204) -(1-0.002516*M204)*1571*COS(4*S204-R204)  -1739*COS(S204-2*Q204) -4421*COS(2*Q204-2*T204) +(1-0.002516*M204)*(1-0.002516*M204)*1165*COS(2*R204+Q204) +8752*COS(2*S204-Q204-2*T204))/1000</f>
        <v>373543.985042435</v>
      </c>
      <c r="AY204" s="10" t="n">
        <f aca="false">AY203+1/8</f>
        <v>26.25</v>
      </c>
      <c r="AZ204" s="17" t="n">
        <f aca="false">AZ203+1</f>
        <v>203</v>
      </c>
      <c r="BA204" s="32" t="n">
        <f aca="false">ATAN(0.99664719*TAN($A$4*input!$E$2))</f>
        <v>-0.400219206115995</v>
      </c>
      <c r="BB204" s="32" t="n">
        <f aca="false">COS(BA204)</f>
        <v>0.920975608992155</v>
      </c>
      <c r="BC204" s="32" t="n">
        <f aca="false">0.99664719*SIN(BA204)</f>
        <v>-0.388313912533463</v>
      </c>
      <c r="BD204" s="32" t="n">
        <f aca="false">6378.14/AX204</f>
        <v>0.017074669263582</v>
      </c>
      <c r="BE204" s="33" t="n">
        <f aca="false">MOD(N204-15*AH204,360)</f>
        <v>263.98734601773</v>
      </c>
      <c r="BF204" s="27" t="n">
        <f aca="false">COS($A$4*AG204)*SIN($A$4*BE204)</f>
        <v>-0.957264473384481</v>
      </c>
      <c r="BG204" s="27" t="n">
        <f aca="false">COS($A$4*AG204)*COS($A$4*BE204)-BB204*BD204</f>
        <v>-0.11655166015201</v>
      </c>
      <c r="BH204" s="27" t="n">
        <f aca="false">SIN($A$4*AG204)-BC204*BD204</f>
        <v>-0.264439371527454</v>
      </c>
      <c r="BI204" s="46" t="n">
        <f aca="false">SQRT(BF204^2+BG204^2+BH204^2)</f>
        <v>0.999933869164403</v>
      </c>
      <c r="BJ204" s="35" t="n">
        <f aca="false">AX204*BI204</f>
        <v>373519.282266571</v>
      </c>
    </row>
    <row r="205" customFormat="false" ht="15" hidden="false" customHeight="false" outlineLevel="0" collapsed="false">
      <c r="A205" s="20"/>
      <c r="B205" s="20"/>
      <c r="C205" s="15" t="n">
        <f aca="false">MOD(C204+3,24)</f>
        <v>9</v>
      </c>
      <c r="D205" s="17" t="n">
        <v>26</v>
      </c>
      <c r="E205" s="102" t="n">
        <f aca="false">input!$C$2</f>
        <v>10</v>
      </c>
      <c r="F205" s="102" t="n">
        <f aca="false">input!$D$2</f>
        <v>2022</v>
      </c>
      <c r="H205" s="39" t="n">
        <f aca="false">AM205</f>
        <v>39.5688017773518</v>
      </c>
      <c r="I205" s="48" t="n">
        <f aca="false">H205+1.02/(TAN($A$4*(H205+10.3/(H205+5.11)))*60)</f>
        <v>39.5892062917987</v>
      </c>
      <c r="J205" s="39" t="n">
        <f aca="false">100*(1+COS($A$4*AQ205))/2</f>
        <v>1.07433923956919</v>
      </c>
      <c r="K205" s="48" t="n">
        <f aca="false">IF(AI205&gt;180,AT205-180,AT205+180)</f>
        <v>92.4155651661419</v>
      </c>
      <c r="L205" s="10" t="n">
        <f aca="false">L204+1/8</f>
        <v>2459878.875</v>
      </c>
      <c r="M205" s="49" t="n">
        <f aca="false">(L205-2451545)/36525</f>
        <v>0.228169062286105</v>
      </c>
      <c r="N205" s="15" t="n">
        <f aca="false">MOD(280.46061837+360.98564736629*(L205-2451545)+0.000387933*M205^2-M205^3/38710000+$G$4,360)</f>
        <v>169.722583306022</v>
      </c>
      <c r="O205" s="18" t="n">
        <f aca="false">0.60643382+1336.85522467*M205 - 0.00000313*M205^2 - INT(0.60643382+1336.85522467*M205 - 0.00000313*M205^2)</f>
        <v>0.635436682283341</v>
      </c>
      <c r="P205" s="15" t="n">
        <f aca="false">22640*SIN(Q205)-4586*SIN(Q205-2*S205)+2370*SIN(2*S205)+769*SIN(2*Q205)-668*SIN(R205)-412*SIN(2*T205)-212*SIN(2*Q205-2*S205)-206*SIN(Q205+R205-2*S205)+192*SIN(Q205+2*S205)-165*SIN(R205-2*S205)-125*SIN(S205)-110*SIN(Q205+R205)+148*SIN(Q205-R205)-55*SIN(2*T205-2*S205)</f>
        <v>-14246.1916785783</v>
      </c>
      <c r="Q205" s="18" t="n">
        <f aca="false">2*PI()*(0.374897+1325.55241*M205 - INT(0.374897+1325.55241*M205))</f>
        <v>5.18329738782147</v>
      </c>
      <c r="R205" s="26" t="n">
        <f aca="false">2*PI()*(0.99312619+99.99735956*M205 - 0.00000044*M205^2 - INT(0.99312619+99.99735956*M205- 0.00000044*M205^2))</f>
        <v>5.08579823698888</v>
      </c>
      <c r="S205" s="26" t="n">
        <f aca="false">2*PI()*(0.827361+1236.853086*M205 - INT(0.827361+1236.853086*M205))</f>
        <v>0.244854589738986</v>
      </c>
      <c r="T205" s="26" t="n">
        <f aca="false">2*PI()*(0.259086+1342.227825*M205 - INT(0.259086+1342.227825*M205))</f>
        <v>3.22924437396863</v>
      </c>
      <c r="U205" s="26" t="n">
        <f aca="false">T205+(P205+412*SIN(2*T205)+541*SIN(R205))/206264.8062</f>
        <v>3.15808315413119</v>
      </c>
      <c r="V205" s="26" t="n">
        <f aca="false">T205-2*S205</f>
        <v>2.73953519449066</v>
      </c>
      <c r="W205" s="25" t="n">
        <f aca="false">-526*SIN(V205)+44*SIN(Q205+V205)-31*SIN(-Q205+V205)-23*SIN(R205+V205)+11*SIN(-R205+V205)-25*SIN(-2*Q205+T205)+21*SIN(-Q205+T205)</f>
        <v>-173.486912979372</v>
      </c>
      <c r="X205" s="26" t="n">
        <f aca="false">2*PI()*(O205+P205/1296000-INT(O205+P205/1296000))</f>
        <v>3.9234989394708</v>
      </c>
      <c r="Y205" s="26" t="n">
        <f aca="false">(18520*SIN(U205)+W205)/206264.8062</f>
        <v>-0.00232166189792048</v>
      </c>
      <c r="Z205" s="26" t="n">
        <f aca="false">Y205*180/PI()</f>
        <v>-0.133021428207176</v>
      </c>
      <c r="AA205" s="26" t="n">
        <f aca="false">COS(Y205)*COS(X205)</f>
        <v>-0.709569683158847</v>
      </c>
      <c r="AB205" s="26" t="n">
        <f aca="false">COS(Y205)*SIN(X205)</f>
        <v>-0.70463144596134</v>
      </c>
      <c r="AC205" s="26" t="n">
        <f aca="false">SIN(Y205)</f>
        <v>-0.00232165981225067</v>
      </c>
      <c r="AD205" s="26" t="n">
        <f aca="false">COS($A$4*(23.4393-46.815*M205/3600))*AB205-SIN($A$4*(23.4393-46.815*M205/3600))*AC205</f>
        <v>-0.64557778948622</v>
      </c>
      <c r="AE205" s="26" t="n">
        <f aca="false">SIN($A$4*(23.4393-46.815*M205/3600))*AB205+COS($A$4*(23.4393-46.815*M205/3600))*AC205</f>
        <v>-0.28238304209697</v>
      </c>
      <c r="AF205" s="26" t="n">
        <f aca="false">SQRT(1-AE205*AE205)</f>
        <v>0.959301734354765</v>
      </c>
      <c r="AG205" s="10" t="n">
        <f aca="false">ATAN(AE205/AF205)/$A$4</f>
        <v>-16.4024837277607</v>
      </c>
      <c r="AH205" s="26" t="n">
        <f aca="false">IF(24*ATAN(AD205/(AA205+AF205))/PI()&gt;0,24*ATAN(AD205/(AA205+AF205))/PI(),24*ATAN(AD205/(AA205+AF205))/PI()+24)</f>
        <v>14.8197616168537</v>
      </c>
      <c r="AI205" s="10" t="n">
        <f aca="false">IF(N205-15*AH205&gt;0,N205-15*AH205,360+N205-15*AH205)</f>
        <v>307.426159053217</v>
      </c>
      <c r="AJ205" s="18" t="n">
        <f aca="false">0.950724+0.051818*COS(Q205)+0.009531*COS(2*S205-Q205)+0.007843*COS(2*S205)+0.002824*COS(2*Q205)+0.000857*COS(2*S205+Q205)+0.000533*COS(2*S205-R205)+0.000401*COS(2*S205-R205-Q205)+0.00032*COS(Q205-R205)-0.000271*COS(S205)</f>
        <v>0.979634249529572</v>
      </c>
      <c r="AK205" s="50" t="n">
        <f aca="false">ASIN(COS($A$4*$G$2)*COS($A$4*AG205)*COS($A$4*AI205)+SIN($A$4*$G$2)*SIN($A$4*AG205))/$A$4</f>
        <v>40.3153727761989</v>
      </c>
      <c r="AL205" s="18" t="n">
        <f aca="false">ASIN((0.9983271+0.0016764*COS($A$4*2*$G$2))*COS($A$4*AK205)*SIN($A$4*AJ205))/$A$4</f>
        <v>0.746570998847187</v>
      </c>
      <c r="AM205" s="18" t="n">
        <f aca="false">AK205-AL205</f>
        <v>39.5688017773518</v>
      </c>
      <c r="AN205" s="10" t="n">
        <f aca="false"> IF(280.4664567 + 360007.6982779*M205/10 + 0.03032028*M205^2/100 + M205^3/49931000&lt;0,MOD(280.4664567 + 360007.6982779*M205/10 + 0.03032028*M205^2/100 + M205^3/49931000+360,360),MOD(280.4664567 + 360007.6982779*M205/10 + 0.03032028*M205^2/100 + M205^3/49931000,360))</f>
        <v>214.728365670075</v>
      </c>
      <c r="AO205" s="27" t="n">
        <f aca="false"> AN205 + (1.9146 - 0.004817*M205 - 0.000014*M205^2)*SIN(R205)+ (0.019993 - 0.000101*M205)*SIN(2*R205)+ 0.00029*SIN(3*R205)</f>
        <v>212.933287077292</v>
      </c>
      <c r="AP205" s="18" t="n">
        <f aca="false">ACOS(COS(X205-$A$4*AO205)*COS(Y205))/$A$4</f>
        <v>11.8673779293445</v>
      </c>
      <c r="AQ205" s="25" t="n">
        <f aca="false">180 - AP205 -0.1468*(1-0.0549*SIN(R205))*SIN($A$4*AP205)/(1-0.0167*SIN($A$4*AO205))</f>
        <v>168.101175432333</v>
      </c>
      <c r="AR205" s="25" t="n">
        <f aca="false">SIN($A$4*AI205)</f>
        <v>-0.794137233257838</v>
      </c>
      <c r="AS205" s="25" t="n">
        <f aca="false">COS($A$4*AI205)*SIN($A$4*$G$2) - TAN($A$4*AG205)*COS($A$4*$G$2)</f>
        <v>0.033500331163589</v>
      </c>
      <c r="AT205" s="25" t="n">
        <f aca="false">IF(OR(AND(AR205*AS205&gt;0), AND(AR205&lt;0,AS205&gt;0)), MOD(ATAN2(AS205,AR205)/$A$4+360,360),  ATAN2(AS205,AR205)/$A$4)</f>
        <v>272.415565166142</v>
      </c>
      <c r="AU205" s="29" t="n">
        <f aca="false">(1+SIN($A$4*H205)*SIN($A$4*AJ205))*120*ASIN(0.272481*SIN($A$4*AJ205))/$A$4</f>
        <v>32.3792000911039</v>
      </c>
      <c r="AV205" s="10" t="n">
        <f aca="false">COS(X205)</f>
        <v>-0.709571595493872</v>
      </c>
      <c r="AW205" s="10" t="n">
        <f aca="false">SIN(X205)</f>
        <v>-0.704633344987505</v>
      </c>
      <c r="AX205" s="30" t="n">
        <f aca="false"> 385000.56 + (-20905355*COS(Q205) - 3699111*COS(2*S205-Q205) - 2955968*COS(2*S205) - 569925*COS(2*Q205) + (1-0.002516*M205)*48888*COS(R205) - 3149*COS(2*T205)  +246158*COS(2*S205-2*Q205) -(1-0.002516*M205)*152138*COS(2*S205-R205-Q205) -170733*COS(2*S205+Q205) -(1-0.002516*M205)*204586*COS(2*S205-R205) -(1-0.002516*M205)*129620*COS(R205-Q205)  + 108743*COS(S205) +(1-0.002516*M205)*104755*COS(R205+Q205) +10321*COS(2*S205-2*T205) +79661*COS(Q205-2*T205) -34782*COS(4*S205-Q205) -23210*COS(3*Q205)  -21636*COS(4*S205-2*Q205) +(1-0.002516*M205)*24208*COS(2*S205+R205-Q205) +(1-0.002516*M205)*30824*COS(2*S205+R205) -8379*COS(S205-Q205) -(1-0.002516*M205)*16675*COS(S205+R205)  -(1-0.002516*M205)*12831*COS(2*S205-R205+Q205) -10445*COS(2*S205+2*Q205) -11650*COS(4*S205) +14403*COS(2*S205-3*Q205) -(1-0.002516*M205)*7003*COS(R205-2*Q205)  + (1-0.002516*M205)*10056*COS(2*S205-R205-2*Q205) +6322*COS(S205+Q205) -(1-0.002516*M205)*(1-0.002516*M205)*9884*COS(2*S205-2*R205) +(1-0.002516*M205)*5751*COS(R205+2*Q205) -(1-0.002516*M205)*(1-0.002516*M205)*4950*COS(2*S205-2*R205-Q205)  +4130*COS(2*S205+Q205-2*T205) -(1-0.002516*M205)*3958*COS(4*S205-R205-Q205) +3258*COS(3*S205-Q205) +(1-0.002516*M205)*2616*COS(2*S205+R205+Q205) -(1-0.002516*M205)*1897*COS(4*S205-R205-2*Q205)  -(1-0.002516*M205)*(1-0.002516*M205)*2117*COS(2*R205-Q205) +(1-0.002516*M205)*(1-0.002516*M205)*2354*COS(2*S205+2*R205-Q205) -1423*COS(4*S205+Q205) -1117*COS(4*Q205) -(1-0.002516*M205)*1571*COS(4*S205-R205)  -1739*COS(S205-2*Q205) -4421*COS(2*Q205-2*T205) +(1-0.002516*M205)*(1-0.002516*M205)*1165*COS(2*R205+Q205) +8752*COS(2*S205-Q205-2*T205))/1000</f>
        <v>373152.351844319</v>
      </c>
      <c r="AY205" s="10" t="n">
        <f aca="false">AY204+1/8</f>
        <v>26.375</v>
      </c>
      <c r="AZ205" s="17" t="n">
        <f aca="false">AZ204+1</f>
        <v>204</v>
      </c>
      <c r="BA205" s="32" t="n">
        <f aca="false">ATAN(0.99664719*TAN($A$4*input!$E$2))</f>
        <v>-0.400219206115995</v>
      </c>
      <c r="BB205" s="32" t="n">
        <f aca="false">COS(BA205)</f>
        <v>0.920975608992155</v>
      </c>
      <c r="BC205" s="32" t="n">
        <f aca="false">0.99664719*SIN(BA205)</f>
        <v>-0.388313912533463</v>
      </c>
      <c r="BD205" s="32" t="n">
        <f aca="false">6378.14/AX205</f>
        <v>0.0170925895776237</v>
      </c>
      <c r="BE205" s="33" t="n">
        <f aca="false">MOD(N205-15*AH205,360)</f>
        <v>307.426159053217</v>
      </c>
      <c r="BF205" s="27" t="n">
        <f aca="false">COS($A$4*AG205)*SIN($A$4*BE205)</f>
        <v>-0.761817225179938</v>
      </c>
      <c r="BG205" s="27" t="n">
        <f aca="false">COS($A$4*AG205)*COS($A$4*BE205)-BB205*BD205</f>
        <v>0.567262715604565</v>
      </c>
      <c r="BH205" s="27" t="n">
        <f aca="false">SIN($A$4*AG205)-BC205*BD205</f>
        <v>-0.275745751762755</v>
      </c>
      <c r="BI205" s="46" t="n">
        <f aca="false">SQRT(BF205^2+BG205^2+BH205^2)</f>
        <v>0.989033969442472</v>
      </c>
      <c r="BJ205" s="35" t="n">
        <f aca="false">AX205*BI205</f>
        <v>369060.351751381</v>
      </c>
    </row>
    <row r="206" customFormat="false" ht="15" hidden="false" customHeight="false" outlineLevel="0" collapsed="false">
      <c r="A206" s="20"/>
      <c r="B206" s="20"/>
      <c r="C206" s="15" t="n">
        <f aca="false">MOD(C205+3,24)</f>
        <v>12</v>
      </c>
      <c r="D206" s="17" t="n">
        <v>26</v>
      </c>
      <c r="E206" s="102" t="n">
        <f aca="false">input!$C$2</f>
        <v>10</v>
      </c>
      <c r="F206" s="102" t="n">
        <f aca="false">input!$D$2</f>
        <v>2022</v>
      </c>
      <c r="H206" s="39" t="n">
        <f aca="false">AM206</f>
        <v>79.3813819150059</v>
      </c>
      <c r="I206" s="48" t="n">
        <f aca="false">H206+1.02/(TAN($A$4*(H206+10.3/(H206+5.11)))*60)</f>
        <v>79.3845316697492</v>
      </c>
      <c r="J206" s="39" t="n">
        <f aca="false">100*(1+COS($A$4*AQ206))/2</f>
        <v>1.38772624841247</v>
      </c>
      <c r="K206" s="48" t="n">
        <f aca="false">IF(AI206&gt;180,AT206-180,AT206+180)</f>
        <v>57.0195625891179</v>
      </c>
      <c r="L206" s="10" t="n">
        <f aca="false">L205+1/8</f>
        <v>2459879</v>
      </c>
      <c r="M206" s="49" t="n">
        <f aca="false">(L206-2451545)/36525</f>
        <v>0.228172484599589</v>
      </c>
      <c r="N206" s="15" t="n">
        <f aca="false">MOD(280.46061837+360.98564736629*(L206-2451545)+0.000387933*M206^2-M206^3/38710000+$G$4,360)</f>
        <v>214.845789227169</v>
      </c>
      <c r="O206" s="18" t="n">
        <f aca="false">0.60643382+1336.85522467*M206 - 0.00000313*M206^2 - INT(0.60643382+1336.85522467*M206 - 0.00000313*M206^2)</f>
        <v>0.6400118199399</v>
      </c>
      <c r="P206" s="15" t="n">
        <f aca="false">22640*SIN(Q206)-4586*SIN(Q206-2*S206)+2370*SIN(2*S206)+769*SIN(2*Q206)-668*SIN(R206)-412*SIN(2*T206)-212*SIN(2*Q206-2*S206)-206*SIN(Q206+R206-2*S206)+192*SIN(Q206+2*S206)-165*SIN(R206-2*S206)-125*SIN(S206)-110*SIN(Q206+R206)+148*SIN(Q206-R206)-55*SIN(2*T206-2*S206)</f>
        <v>-13876.7436405253</v>
      </c>
      <c r="Q206" s="18" t="n">
        <f aca="false">2*PI()*(0.374897+1325.55241*M206 - INT(0.374897+1325.55241*M206))</f>
        <v>5.21180078079363</v>
      </c>
      <c r="R206" s="26" t="n">
        <f aca="false">2*PI()*(0.99312619+99.99735956*M206 - 0.00000044*M206^2 - INT(0.99312619+99.99735956*M206- 0.00000044*M206^2))</f>
        <v>5.08794848318698</v>
      </c>
      <c r="S206" s="26" t="n">
        <f aca="false">2*PI()*(0.827361+1236.853086*M206 - INT(0.827361+1236.853086*M206))</f>
        <v>0.271450678503909</v>
      </c>
      <c r="T206" s="26" t="n">
        <f aca="false">2*PI()*(0.259086+1342.227825*M206 - INT(0.259086+1342.227825*M206))</f>
        <v>3.25810633888639</v>
      </c>
      <c r="U206" s="26" t="n">
        <f aca="false">T206+(P206+412*SIN(2*T206)+541*SIN(R206))/206264.8062</f>
        <v>3.18885120592338</v>
      </c>
      <c r="V206" s="26" t="n">
        <f aca="false">T206-2*S206</f>
        <v>2.71520498187857</v>
      </c>
      <c r="W206" s="25" t="n">
        <f aca="false">-526*SIN(V206)+44*SIN(Q206+V206)-31*SIN(-Q206+V206)-23*SIN(R206+V206)+11*SIN(-R206+V206)-25*SIN(-2*Q206+T206)+21*SIN(-Q206+T206)</f>
        <v>-185.818469852772</v>
      </c>
      <c r="X206" s="26" t="n">
        <f aca="false">2*PI()*(O206+P206/1296000-INT(O206+P206/1296000))</f>
        <v>3.95403651180588</v>
      </c>
      <c r="Y206" s="26" t="n">
        <f aca="false">(18520*SIN(U206)+W206)/206264.8062</f>
        <v>-0.0051425210634502</v>
      </c>
      <c r="Z206" s="26" t="n">
        <f aca="false">Y206*180/PI()</f>
        <v>-0.294644752992824</v>
      </c>
      <c r="AA206" s="26" t="n">
        <f aca="false">COS(Y206)*COS(X206)</f>
        <v>-0.687717226936731</v>
      </c>
      <c r="AB206" s="26" t="n">
        <f aca="false">COS(Y206)*SIN(X206)</f>
        <v>-0.725960446914766</v>
      </c>
      <c r="AC206" s="26" t="n">
        <f aca="false">SIN(Y206)</f>
        <v>-0.00514249839737042</v>
      </c>
      <c r="AD206" s="26" t="n">
        <f aca="false">COS($A$4*(23.4393-46.815*M206/3600))*AB206-SIN($A$4*(23.4393-46.815*M206/3600))*AC206</f>
        <v>-0.664025271992327</v>
      </c>
      <c r="AE206" s="26" t="n">
        <f aca="false">SIN($A$4*(23.4393-46.815*M206/3600))*AB206+COS($A$4*(23.4393-46.815*M206/3600))*AC206</f>
        <v>-0.293454347267117</v>
      </c>
      <c r="AF206" s="26" t="n">
        <f aca="false">SQRT(1-AE206*AE206)</f>
        <v>0.955973088569982</v>
      </c>
      <c r="AG206" s="10" t="n">
        <f aca="false">ATAN(AE206/AF206)/$A$4</f>
        <v>-17.064876390284</v>
      </c>
      <c r="AH206" s="26" t="n">
        <f aca="false">IF(24*ATAN(AD206/(AA206+AF206))/PI()&gt;0,24*ATAN(AD206/(AA206+AF206))/PI(),24*ATAN(AD206/(AA206+AF206))/PI()+24)</f>
        <v>14.9330587468648</v>
      </c>
      <c r="AI206" s="10" t="n">
        <f aca="false">IF(N206-15*AH206&gt;0,N206-15*AH206,360+N206-15*AH206)</f>
        <v>350.849908024197</v>
      </c>
      <c r="AJ206" s="18" t="n">
        <f aca="false">0.950724+0.051818*COS(Q206)+0.009531*COS(2*S206-Q206)+0.007843*COS(2*S206)+0.002824*COS(2*Q206)+0.000857*COS(2*S206+Q206)+0.000533*COS(2*S206-R206)+0.000401*COS(2*S206-R206-Q206)+0.00032*COS(Q206-R206)-0.000271*COS(S206)</f>
        <v>0.980641108539151</v>
      </c>
      <c r="AK206" s="50" t="n">
        <f aca="false">ASIN(COS($A$4*$G$2)*COS($A$4*AG206)*COS($A$4*AI206)+SIN($A$4*$G$2)*SIN($A$4*AG206))/$A$4</f>
        <v>79.5589978706262</v>
      </c>
      <c r="AL206" s="18" t="n">
        <f aca="false">ASIN((0.9983271+0.0016764*COS($A$4*2*$G$2))*COS($A$4*AK206)*SIN($A$4*AJ206))/$A$4</f>
        <v>0.177615955620298</v>
      </c>
      <c r="AM206" s="18" t="n">
        <f aca="false">AK206-AL206</f>
        <v>79.3813819150059</v>
      </c>
      <c r="AN206" s="10" t="n">
        <f aca="false"> IF(280.4664567 + 360007.6982779*M206/10 + 0.03032028*M206^2/100 + M206^3/49931000&lt;0,MOD(280.4664567 + 360007.6982779*M206/10 + 0.03032028*M206^2/100 + M206^3/49931000+360,360),MOD(280.4664567 + 360007.6982779*M206/10 + 0.03032028*M206^2/100 + M206^3/49931000,360))</f>
        <v>214.851571590565</v>
      </c>
      <c r="AO206" s="27" t="n">
        <f aca="false"> AN206 + (1.9146 - 0.004817*M206 - 0.000014*M206^2)*SIN(R206)+ (0.019993 - 0.000101*M206)*SIN(2*R206)+ 0.00029*SIN(3*R206)</f>
        <v>213.057933481005</v>
      </c>
      <c r="AP206" s="18" t="n">
        <f aca="false">ACOS(COS(X206-$A$4*AO206)*COS(Y206))/$A$4</f>
        <v>13.4948280049556</v>
      </c>
      <c r="AQ206" s="25" t="n">
        <f aca="false">180 - AP206 -0.1468*(1-0.0549*SIN(R206))*SIN($A$4*AP206)/(1-0.0167*SIN($A$4*AO206))</f>
        <v>166.46949052276</v>
      </c>
      <c r="AR206" s="25" t="n">
        <f aca="false">SIN($A$4*AI206)</f>
        <v>-0.159021272877226</v>
      </c>
      <c r="AS206" s="25" t="n">
        <f aca="false">COS($A$4*AI206)*SIN($A$4*$G$2) - TAN($A$4*AG206)*COS($A$4*$G$2)</f>
        <v>-0.103192446514946</v>
      </c>
      <c r="AT206" s="25" t="n">
        <f aca="false">IF(OR(AND(AR206*AS206&gt;0), AND(AR206&lt;0,AS206&gt;0)), MOD(ATAN2(AS206,AR206)/$A$4+360,360),  ATAN2(AS206,AR206)/$A$4)</f>
        <v>237.019562589118</v>
      </c>
      <c r="AU206" s="29" t="n">
        <f aca="false">(1+SIN($A$4*H206)*SIN($A$4*AJ206))*120*ASIN(0.272481*SIN($A$4*AJ206))/$A$4</f>
        <v>32.602631655292</v>
      </c>
      <c r="AV206" s="10" t="n">
        <f aca="false">COS(X206)</f>
        <v>-0.687726320557766</v>
      </c>
      <c r="AW206" s="10" t="n">
        <f aca="false">SIN(X206)</f>
        <v>-0.725970046222348</v>
      </c>
      <c r="AX206" s="30" t="n">
        <f aca="false"> 385000.56 + (-20905355*COS(Q206) - 3699111*COS(2*S206-Q206) - 2955968*COS(2*S206) - 569925*COS(2*Q206) + (1-0.002516*M206)*48888*COS(R206) - 3149*COS(2*T206)  +246158*COS(2*S206-2*Q206) -(1-0.002516*M206)*152138*COS(2*S206-R206-Q206) -170733*COS(2*S206+Q206) -(1-0.002516*M206)*204586*COS(2*S206-R206) -(1-0.002516*M206)*129620*COS(R206-Q206)  + 108743*COS(S206) +(1-0.002516*M206)*104755*COS(R206+Q206) +10321*COS(2*S206-2*T206) +79661*COS(Q206-2*T206) -34782*COS(4*S206-Q206) -23210*COS(3*Q206)  -21636*COS(4*S206-2*Q206) +(1-0.002516*M206)*24208*COS(2*S206+R206-Q206) +(1-0.002516*M206)*30824*COS(2*S206+R206) -8379*COS(S206-Q206) -(1-0.002516*M206)*16675*COS(S206+R206)  -(1-0.002516*M206)*12831*COS(2*S206-R206+Q206) -10445*COS(2*S206+2*Q206) -11650*COS(4*S206) +14403*COS(2*S206-3*Q206) -(1-0.002516*M206)*7003*COS(R206-2*Q206)  + (1-0.002516*M206)*10056*COS(2*S206-R206-2*Q206) +6322*COS(S206+Q206) -(1-0.002516*M206)*(1-0.002516*M206)*9884*COS(2*S206-2*R206) +(1-0.002516*M206)*5751*COS(R206+2*Q206) -(1-0.002516*M206)*(1-0.002516*M206)*4950*COS(2*S206-2*R206-Q206)  +4130*COS(2*S206+Q206-2*T206) -(1-0.002516*M206)*3958*COS(4*S206-R206-Q206) +3258*COS(3*S206-Q206) +(1-0.002516*M206)*2616*COS(2*S206+R206+Q206) -(1-0.002516*M206)*1897*COS(4*S206-R206-2*Q206)  -(1-0.002516*M206)*(1-0.002516*M206)*2117*COS(2*R206-Q206) +(1-0.002516*M206)*(1-0.002516*M206)*2354*COS(2*S206+2*R206-Q206) -1423*COS(4*S206+Q206) -1117*COS(4*Q206) -(1-0.002516*M206)*1571*COS(4*S206-R206)  -1739*COS(S206-2*Q206) -4421*COS(2*Q206-2*T206) +(1-0.002516*M206)*(1-0.002516*M206)*1165*COS(2*R206+Q206) +8752*COS(2*S206-Q206-2*T206))/1000</f>
        <v>372775.260791785</v>
      </c>
      <c r="AY206" s="10" t="n">
        <f aca="false">AY205+1/8</f>
        <v>26.5</v>
      </c>
      <c r="AZ206" s="17" t="n">
        <f aca="false">AZ205+1</f>
        <v>205</v>
      </c>
      <c r="BA206" s="32" t="n">
        <f aca="false">ATAN(0.99664719*TAN($A$4*input!$E$2))</f>
        <v>-0.400219206115995</v>
      </c>
      <c r="BB206" s="32" t="n">
        <f aca="false">COS(BA206)</f>
        <v>0.920975608992155</v>
      </c>
      <c r="BC206" s="32" t="n">
        <f aca="false">0.99664719*SIN(BA206)</f>
        <v>-0.388313912533463</v>
      </c>
      <c r="BD206" s="32" t="n">
        <f aca="false">6378.14/AX206</f>
        <v>0.0171098800560227</v>
      </c>
      <c r="BE206" s="33" t="n">
        <f aca="false">MOD(N206-15*AH206,360)</f>
        <v>350.849908024197</v>
      </c>
      <c r="BF206" s="27" t="n">
        <f aca="false">COS($A$4*AG206)*SIN($A$4*BE206)</f>
        <v>-0.152020057380771</v>
      </c>
      <c r="BG206" s="27" t="n">
        <f aca="false">COS($A$4*AG206)*COS($A$4*BE206)-BB206*BD206</f>
        <v>0.928050698486476</v>
      </c>
      <c r="BH206" s="27" t="n">
        <f aca="false">SIN($A$4*AG206)-BC206*BD206</f>
        <v>-0.286810342799584</v>
      </c>
      <c r="BI206" s="46" t="n">
        <f aca="false">SQRT(BF206^2+BG206^2+BH206^2)</f>
        <v>0.98318277524787</v>
      </c>
      <c r="BJ206" s="35" t="n">
        <f aca="false">AX206*BI206</f>
        <v>366506.215449015</v>
      </c>
    </row>
    <row r="207" customFormat="false" ht="15" hidden="false" customHeight="false" outlineLevel="0" collapsed="false">
      <c r="A207" s="20"/>
      <c r="B207" s="20"/>
      <c r="C207" s="15" t="n">
        <f aca="false">MOD(C206+3,24)</f>
        <v>15</v>
      </c>
      <c r="D207" s="17" t="n">
        <v>26</v>
      </c>
      <c r="E207" s="102" t="n">
        <f aca="false">input!$C$2</f>
        <v>10</v>
      </c>
      <c r="F207" s="102" t="n">
        <f aca="false">input!$D$2</f>
        <v>2022</v>
      </c>
      <c r="H207" s="39" t="n">
        <f aca="false">AM207</f>
        <v>56.9975258980985</v>
      </c>
      <c r="I207" s="48" t="n">
        <f aca="false">H207+1.02/(TAN($A$4*(H207+10.3/(H207+5.11)))*60)</f>
        <v>57.0084970401768</v>
      </c>
      <c r="J207" s="39" t="n">
        <f aca="false">100*(1+COS($A$4*AQ207))/2</f>
        <v>1.74157864394507</v>
      </c>
      <c r="K207" s="48" t="n">
        <f aca="false">IF(AI207&gt;180,AT207-180,AT207+180)</f>
        <v>272.940837218845</v>
      </c>
      <c r="L207" s="10" t="n">
        <f aca="false">L206+1/8</f>
        <v>2459879.125</v>
      </c>
      <c r="M207" s="49" t="n">
        <f aca="false">(L207-2451545)/36525</f>
        <v>0.228175906913073</v>
      </c>
      <c r="N207" s="15" t="n">
        <f aca="false">MOD(280.46061837+360.98564736629*(L207-2451545)+0.000387933*M207^2-M207^3/38710000+$G$4,360)</f>
        <v>259.968995148782</v>
      </c>
      <c r="O207" s="18" t="n">
        <f aca="false">0.60643382+1336.85522467*M207 - 0.00000313*M207^2 - INT(0.60643382+1336.85522467*M207 - 0.00000313*M207^2)</f>
        <v>0.644586957596459</v>
      </c>
      <c r="P207" s="15" t="n">
        <f aca="false">22640*SIN(Q207)-4586*SIN(Q207-2*S207)+2370*SIN(2*S207)+769*SIN(2*Q207)-668*SIN(R207)-412*SIN(2*T207)-212*SIN(2*Q207-2*S207)-206*SIN(Q207+R207-2*S207)+192*SIN(Q207+2*S207)-165*SIN(R207-2*S207)-125*SIN(S207)-110*SIN(Q207+R207)+148*SIN(Q207-R207)-55*SIN(2*T207-2*S207)</f>
        <v>-13494.872887013</v>
      </c>
      <c r="Q207" s="18" t="n">
        <f aca="false">2*PI()*(0.374897+1325.55241*M207 - INT(0.374897+1325.55241*M207))</f>
        <v>5.24030417376542</v>
      </c>
      <c r="R207" s="26" t="n">
        <f aca="false">2*PI()*(0.99312619+99.99735956*M207 - 0.00000044*M207^2 - INT(0.99312619+99.99735956*M207- 0.00000044*M207^2))</f>
        <v>5.09009872938509</v>
      </c>
      <c r="S207" s="26" t="n">
        <f aca="false">2*PI()*(0.827361+1236.853086*M207 - INT(0.827361+1236.853086*M207))</f>
        <v>0.298046767268831</v>
      </c>
      <c r="T207" s="26" t="n">
        <f aca="false">2*PI()*(0.259086+1342.227825*M207 - INT(0.259086+1342.227825*M207))</f>
        <v>3.28696830380379</v>
      </c>
      <c r="U207" s="26" t="n">
        <f aca="false">T207+(P207+412*SIN(2*T207)+541*SIN(R207))/206264.8062</f>
        <v>3.21967795952095</v>
      </c>
      <c r="V207" s="26" t="n">
        <f aca="false">T207-2*S207</f>
        <v>2.69087476926613</v>
      </c>
      <c r="W207" s="25" t="n">
        <f aca="false">-526*SIN(V207)+44*SIN(Q207+V207)-31*SIN(-Q207+V207)-23*SIN(R207+V207)+11*SIN(-R207+V207)-25*SIN(-2*Q207+T207)+21*SIN(-Q207+T207)</f>
        <v>-198.072656577256</v>
      </c>
      <c r="X207" s="26" t="n">
        <f aca="false">2*PI()*(O207+P207/1296000-INT(O207+P207/1296000))</f>
        <v>3.98463431116508</v>
      </c>
      <c r="Y207" s="26" t="n">
        <f aca="false">(18520*SIN(U207)+W207)/206264.8062</f>
        <v>-0.00796424463097002</v>
      </c>
      <c r="Z207" s="26" t="n">
        <f aca="false">Y207*180/PI()</f>
        <v>-0.456317604364308</v>
      </c>
      <c r="AA207" s="26" t="n">
        <f aca="false">COS(Y207)*COS(X207)</f>
        <v>-0.665173696100093</v>
      </c>
      <c r="AB207" s="26" t="n">
        <f aca="false">COS(Y207)*SIN(X207)</f>
        <v>-0.746646185395114</v>
      </c>
      <c r="AC207" s="26" t="n">
        <f aca="false">SIN(Y207)</f>
        <v>-0.00796416043696935</v>
      </c>
      <c r="AD207" s="26" t="n">
        <f aca="false">COS($A$4*(23.4393-46.815*M207/3600))*AB207-SIN($A$4*(23.4393-46.815*M207/3600))*AC207</f>
        <v>-0.681882232012218</v>
      </c>
      <c r="AE207" s="26" t="n">
        <f aca="false">SIN($A$4*(23.4393-46.815*M207/3600))*AB207+COS($A$4*(23.4393-46.815*M207/3600))*AC207</f>
        <v>-0.304270563286324</v>
      </c>
      <c r="AF207" s="26" t="n">
        <f aca="false">SQRT(1-AE207*AE207)</f>
        <v>0.952585651958617</v>
      </c>
      <c r="AG207" s="10" t="n">
        <f aca="false">ATAN(AE207/AF207)/$A$4</f>
        <v>-17.7142846380319</v>
      </c>
      <c r="AH207" s="26" t="n">
        <f aca="false">IF(24*ATAN(AD207/(AA207+AF207))/PI()&gt;0,24*ATAN(AD207/(AA207+AF207))/PI(),24*ATAN(AD207/(AA207+AF207))/PI()+24)</f>
        <v>15.0473763797653</v>
      </c>
      <c r="AI207" s="10" t="n">
        <f aca="false">IF(N207-15*AH207&gt;0,N207-15*AH207,360+N207-15*AH207)</f>
        <v>34.2583494523028</v>
      </c>
      <c r="AJ207" s="18" t="n">
        <f aca="false">0.950724+0.051818*COS(Q207)+0.009531*COS(2*S207-Q207)+0.007843*COS(2*S207)+0.002824*COS(2*Q207)+0.000857*COS(2*S207+Q207)+0.000533*COS(2*S207-R207)+0.000401*COS(2*S207-R207-Q207)+0.00032*COS(Q207-R207)-0.000271*COS(S207)</f>
        <v>0.981609481538543</v>
      </c>
      <c r="AK207" s="50" t="n">
        <f aca="false">ASIN(COS($A$4*$G$2)*COS($A$4*AG207)*COS($A$4*AI207)+SIN($A$4*$G$2)*SIN($A$4*AG207))/$A$4</f>
        <v>57.5243067301954</v>
      </c>
      <c r="AL207" s="18" t="n">
        <f aca="false">ASIN((0.9983271+0.0016764*COS($A$4*2*$G$2))*COS($A$4*AK207)*SIN($A$4*AJ207))/$A$4</f>
        <v>0.526780832096936</v>
      </c>
      <c r="AM207" s="18" t="n">
        <f aca="false">AK207-AL207</f>
        <v>56.9975258980985</v>
      </c>
      <c r="AN207" s="10" t="n">
        <f aca="false"> IF(280.4664567 + 360007.6982779*M207/10 + 0.03032028*M207^2/100 + M207^3/49931000&lt;0,MOD(280.4664567 + 360007.6982779*M207/10 + 0.03032028*M207^2/100 + M207^3/49931000+360,360),MOD(280.4664567 + 360007.6982779*M207/10 + 0.03032028*M207^2/100 + M207^3/49931000,360))</f>
        <v>214.97477751105</v>
      </c>
      <c r="AO207" s="27" t="n">
        <f aca="false"> AN207 + (1.9146 - 0.004817*M207 - 0.000014*M207^2)*SIN(R207)+ (0.019993 - 0.000101*M207)*SIN(2*R207)+ 0.00029*SIN(3*R207)</f>
        <v>213.182588362105</v>
      </c>
      <c r="AP207" s="18" t="n">
        <f aca="false">ACOS(COS(X207-$A$4*AO207)*COS(Y207))/$A$4</f>
        <v>15.1268641932965</v>
      </c>
      <c r="AQ207" s="25" t="n">
        <f aca="false">180 - AP207 -0.1468*(1-0.0549*SIN(R207))*SIN($A$4*AP207)/(1-0.0167*SIN($A$4*AO207))</f>
        <v>164.83323708165</v>
      </c>
      <c r="AR207" s="25" t="n">
        <f aca="false">SIN($A$4*AI207)</f>
        <v>0.562925376868261</v>
      </c>
      <c r="AS207" s="25" t="n">
        <f aca="false">COS($A$4*AI207)*SIN($A$4*$G$2) - TAN($A$4*AG207)*COS($A$4*$G$2)</f>
        <v>-0.0289188352555774</v>
      </c>
      <c r="AT207" s="25" t="n">
        <f aca="false">IF(OR(AND(AR207*AS207&gt;0), AND(AR207&lt;0,AS207&gt;0)), MOD(ATAN2(AS207,AR207)/$A$4+360,360),  ATAN2(AS207,AR207)/$A$4)</f>
        <v>92.9408372188448</v>
      </c>
      <c r="AU207" s="29" t="n">
        <f aca="false">(1+SIN($A$4*H207)*SIN($A$4*AJ207))*120*ASIN(0.272481*SIN($A$4*AJ207))/$A$4</f>
        <v>32.5560548964134</v>
      </c>
      <c r="AV207" s="10" t="n">
        <f aca="false">COS(X207)</f>
        <v>-0.665194792372864</v>
      </c>
      <c r="AW207" s="10" t="n">
        <f aca="false">SIN(X207)</f>
        <v>-0.746669865603281</v>
      </c>
      <c r="AX207" s="30" t="n">
        <f aca="false"> 385000.56 + (-20905355*COS(Q207) - 3699111*COS(2*S207-Q207) - 2955968*COS(2*S207) - 569925*COS(2*Q207) + (1-0.002516*M207)*48888*COS(R207) - 3149*COS(2*T207)  +246158*COS(2*S207-2*Q207) -(1-0.002516*M207)*152138*COS(2*S207-R207-Q207) -170733*COS(2*S207+Q207) -(1-0.002516*M207)*204586*COS(2*S207-R207) -(1-0.002516*M207)*129620*COS(R207-Q207)  + 108743*COS(S207) +(1-0.002516*M207)*104755*COS(R207+Q207) +10321*COS(2*S207-2*T207) +79661*COS(Q207-2*T207) -34782*COS(4*S207-Q207) -23210*COS(3*Q207)  -21636*COS(4*S207-2*Q207) +(1-0.002516*M207)*24208*COS(2*S207+R207-Q207) +(1-0.002516*M207)*30824*COS(2*S207+R207) -8379*COS(S207-Q207) -(1-0.002516*M207)*16675*COS(S207+R207)  -(1-0.002516*M207)*12831*COS(2*S207-R207+Q207) -10445*COS(2*S207+2*Q207) -11650*COS(4*S207) +14403*COS(2*S207-3*Q207) -(1-0.002516*M207)*7003*COS(R207-2*Q207)  + (1-0.002516*M207)*10056*COS(2*S207-R207-2*Q207) +6322*COS(S207+Q207) -(1-0.002516*M207)*(1-0.002516*M207)*9884*COS(2*S207-2*R207) +(1-0.002516*M207)*5751*COS(R207+2*Q207) -(1-0.002516*M207)*(1-0.002516*M207)*4950*COS(2*S207-2*R207-Q207)  +4130*COS(2*S207+Q207-2*T207) -(1-0.002516*M207)*3958*COS(4*S207-R207-Q207) +3258*COS(3*S207-Q207) +(1-0.002516*M207)*2616*COS(2*S207+R207+Q207) -(1-0.002516*M207)*1897*COS(4*S207-R207-2*Q207)  -(1-0.002516*M207)*(1-0.002516*M207)*2117*COS(2*R207-Q207) +(1-0.002516*M207)*(1-0.002516*M207)*2354*COS(2*S207+2*R207-Q207) -1423*COS(4*S207+Q207) -1117*COS(4*Q207) -(1-0.002516*M207)*1571*COS(4*S207-R207)  -1739*COS(S207-2*Q207) -4421*COS(2*Q207-2*T207) +(1-0.002516*M207)*(1-0.002516*M207)*1165*COS(2*R207+Q207) +8752*COS(2*S207-Q207-2*T207))/1000</f>
        <v>372412.950939254</v>
      </c>
      <c r="AY207" s="10" t="n">
        <f aca="false">AY206+1/8</f>
        <v>26.625</v>
      </c>
      <c r="AZ207" s="17" t="n">
        <f aca="false">AZ206+1</f>
        <v>206</v>
      </c>
      <c r="BA207" s="32" t="n">
        <f aca="false">ATAN(0.99664719*TAN($A$4*input!$E$2))</f>
        <v>-0.400219206115995</v>
      </c>
      <c r="BB207" s="32" t="n">
        <f aca="false">COS(BA207)</f>
        <v>0.920975608992155</v>
      </c>
      <c r="BC207" s="32" t="n">
        <f aca="false">0.99664719*SIN(BA207)</f>
        <v>-0.388313912533463</v>
      </c>
      <c r="BD207" s="32" t="n">
        <f aca="false">6378.14/AX207</f>
        <v>0.0171265257663941</v>
      </c>
      <c r="BE207" s="33" t="n">
        <f aca="false">MOD(N207-15*AH207,360)</f>
        <v>34.2583494523028</v>
      </c>
      <c r="BF207" s="27" t="n">
        <f aca="false">COS($A$4*AG207)*SIN($A$4*BE207)</f>
        <v>0.536234637128102</v>
      </c>
      <c r="BG207" s="27" t="n">
        <f aca="false">COS($A$4*AG207)*COS($A$4*BE207)-BB207*BD207</f>
        <v>0.771546287912092</v>
      </c>
      <c r="BH207" s="27" t="n">
        <f aca="false">SIN($A$4*AG207)-BC207*BD207</f>
        <v>-0.29762009505787</v>
      </c>
      <c r="BI207" s="46" t="n">
        <f aca="false">SQRT(BF207^2+BG207^2+BH207^2)</f>
        <v>0.985600822559058</v>
      </c>
      <c r="BJ207" s="35" t="n">
        <f aca="false">AX207*BI207</f>
        <v>367050.510777375</v>
      </c>
    </row>
    <row r="208" customFormat="false" ht="15" hidden="false" customHeight="false" outlineLevel="0" collapsed="false">
      <c r="A208" s="20"/>
      <c r="B208" s="20"/>
      <c r="C208" s="15" t="n">
        <f aca="false">MOD(C207+3,24)</f>
        <v>18</v>
      </c>
      <c r="D208" s="17" t="n">
        <v>26</v>
      </c>
      <c r="E208" s="102" t="n">
        <f aca="false">input!$C$2</f>
        <v>10</v>
      </c>
      <c r="F208" s="102" t="n">
        <f aca="false">input!$D$2</f>
        <v>2022</v>
      </c>
      <c r="H208" s="39" t="n">
        <f aca="false">AM208</f>
        <v>17.1170767088206</v>
      </c>
      <c r="I208" s="48" t="n">
        <f aca="false">H208+1.02/(TAN($A$4*(H208+10.3/(H208+5.11)))*60)</f>
        <v>17.1707309291834</v>
      </c>
      <c r="J208" s="39" t="n">
        <f aca="false">100*(1+COS($A$4*AQ208))/2</f>
        <v>2.13580971347573</v>
      </c>
      <c r="K208" s="48" t="n">
        <f aca="false">IF(AI208&gt;180,AT208-180,AT208+180)</f>
        <v>257.210215611054</v>
      </c>
      <c r="L208" s="10" t="n">
        <f aca="false">L207+1/8</f>
        <v>2459879.25</v>
      </c>
      <c r="M208" s="49" t="n">
        <f aca="false">(L208-2451545)/36525</f>
        <v>0.228179329226557</v>
      </c>
      <c r="N208" s="15" t="n">
        <f aca="false">MOD(280.46061837+360.98564736629*(L208-2451545)+0.000387933*M208^2-M208^3/38710000+$G$4,360)</f>
        <v>305.092201069929</v>
      </c>
      <c r="O208" s="18" t="n">
        <f aca="false">0.60643382+1336.85522467*M208 - 0.00000313*M208^2 - INT(0.60643382+1336.85522467*M208 - 0.00000313*M208^2)</f>
        <v>0.649162095253018</v>
      </c>
      <c r="P208" s="15" t="n">
        <f aca="false">22640*SIN(Q208)-4586*SIN(Q208-2*S208)+2370*SIN(2*S208)+769*SIN(2*Q208)-668*SIN(R208)-412*SIN(2*T208)-212*SIN(2*Q208-2*S208)-206*SIN(Q208+R208-2*S208)+192*SIN(Q208+2*S208)-165*SIN(R208-2*S208)-125*SIN(S208)-110*SIN(Q208+R208)+148*SIN(Q208-R208)-55*SIN(2*T208-2*S208)</f>
        <v>-13101.0716872534</v>
      </c>
      <c r="Q208" s="18" t="n">
        <f aca="false">2*PI()*(0.374897+1325.55241*M208 - INT(0.374897+1325.55241*M208))</f>
        <v>5.26880756673758</v>
      </c>
      <c r="R208" s="26" t="n">
        <f aca="false">2*PI()*(0.99312619+99.99735956*M208 - 0.00000044*M208^2 - INT(0.99312619+99.99735956*M208- 0.00000044*M208^2))</f>
        <v>5.09224897558315</v>
      </c>
      <c r="S208" s="26" t="n">
        <f aca="false">2*PI()*(0.827361+1236.853086*M208 - INT(0.827361+1236.853086*M208))</f>
        <v>0.324642856033754</v>
      </c>
      <c r="T208" s="26" t="n">
        <f aca="false">2*PI()*(0.259086+1342.227825*M208 - INT(0.259086+1342.227825*M208))</f>
        <v>3.31583026872155</v>
      </c>
      <c r="U208" s="26" t="n">
        <f aca="false">T208+(P208+412*SIN(2*T208)+541*SIN(R208))/206264.8062</f>
        <v>3.25056065739636</v>
      </c>
      <c r="V208" s="26" t="n">
        <f aca="false">T208-2*S208</f>
        <v>2.66654455665404</v>
      </c>
      <c r="W208" s="25" t="n">
        <f aca="false">-526*SIN(V208)+44*SIN(Q208+V208)-31*SIN(-Q208+V208)-23*SIN(R208+V208)+11*SIN(-R208+V208)-25*SIN(-2*Q208+T208)+21*SIN(-Q208+T208)</f>
        <v>-210.23940340083</v>
      </c>
      <c r="X208" s="26" t="n">
        <f aca="false">2*PI()*(O208+P208/1296000-INT(O208+P208/1296000))</f>
        <v>4.01528995095991</v>
      </c>
      <c r="Y208" s="26" t="n">
        <f aca="false">(18520*SIN(U208)+W208)/206264.8062</f>
        <v>-0.010783882338498</v>
      </c>
      <c r="Z208" s="26" t="n">
        <f aca="false">Y208*180/PI()</f>
        <v>-0.617870944761601</v>
      </c>
      <c r="AA208" s="26" t="n">
        <f aca="false">COS(Y208)*COS(X208)</f>
        <v>-0.641958865735773</v>
      </c>
      <c r="AB208" s="26" t="n">
        <f aca="false">COS(Y208)*SIN(X208)</f>
        <v>-0.766663242299271</v>
      </c>
      <c r="AC208" s="26" t="n">
        <f aca="false">SIN(Y208)</f>
        <v>-0.0107836733262932</v>
      </c>
      <c r="AD208" s="26" t="n">
        <f aca="false">COS($A$4*(23.4393-46.815*M208/3600))*AB208-SIN($A$4*(23.4393-46.815*M208/3600))*AC208</f>
        <v>-0.699126529745554</v>
      </c>
      <c r="AE208" s="26" t="n">
        <f aca="false">SIN($A$4*(23.4393-46.815*M208/3600))*AB208+COS($A$4*(23.4393-46.815*M208/3600))*AC208</f>
        <v>-0.314818852849027</v>
      </c>
      <c r="AF208" s="26" t="n">
        <f aca="false">SQRT(1-AE208*AE208)</f>
        <v>0.949151773896474</v>
      </c>
      <c r="AG208" s="10" t="n">
        <f aca="false">ATAN(AE208/AF208)/$A$4</f>
        <v>-18.3498784555552</v>
      </c>
      <c r="AH208" s="26" t="n">
        <f aca="false">IF(24*ATAN(AD208/(AA208+AF208))/PI()&gt;0,24*ATAN(AD208/(AA208+AF208))/PI(),24*ATAN(AD208/(AA208+AF208))/PI()+24)</f>
        <v>15.1627280933301</v>
      </c>
      <c r="AI208" s="10" t="n">
        <f aca="false">IF(N208-15*AH208&gt;0,N208-15*AH208,360+N208-15*AH208)</f>
        <v>77.6512796699778</v>
      </c>
      <c r="AJ208" s="18" t="n">
        <f aca="false">0.950724+0.051818*COS(Q208)+0.009531*COS(2*S208-Q208)+0.007843*COS(2*S208)+0.002824*COS(2*Q208)+0.000857*COS(2*S208+Q208)+0.000533*COS(2*S208-R208)+0.000401*COS(2*S208-R208-Q208)+0.00032*COS(Q208-R208)-0.000271*COS(S208)</f>
        <v>0.982538506955909</v>
      </c>
      <c r="AK208" s="50" t="n">
        <f aca="false">ASIN(COS($A$4*$G$2)*COS($A$4*AG208)*COS($A$4*AI208)+SIN($A$4*$G$2)*SIN($A$4*AG208))/$A$4</f>
        <v>18.050777561678</v>
      </c>
      <c r="AL208" s="18" t="n">
        <f aca="false">ASIN((0.9983271+0.0016764*COS($A$4*2*$G$2))*COS($A$4*AK208)*SIN($A$4*AJ208))/$A$4</f>
        <v>0.933700852857421</v>
      </c>
      <c r="AM208" s="18" t="n">
        <f aca="false">AK208-AL208</f>
        <v>17.1170767088206</v>
      </c>
      <c r="AN208" s="10" t="n">
        <f aca="false"> IF(280.4664567 + 360007.6982779*M208/10 + 0.03032028*M208^2/100 + M208^3/49931000&lt;0,MOD(280.4664567 + 360007.6982779*M208/10 + 0.03032028*M208^2/100 + M208^3/49931000+360,360),MOD(280.4664567 + 360007.6982779*M208/10 + 0.03032028*M208^2/100 + M208^3/49931000,360))</f>
        <v>215.097983431537</v>
      </c>
      <c r="AO208" s="27" t="n">
        <f aca="false"> AN208 + (1.9146 - 0.004817*M208 - 0.000014*M208^2)*SIN(R208)+ (0.019993 - 0.000101*M208)*SIN(2*R208)+ 0.00029*SIN(3*R208)</f>
        <v>213.307251714832</v>
      </c>
      <c r="AP208" s="18" t="n">
        <f aca="false">ACOS(COS(X208-$A$4*AO208)*COS(Y208))/$A$4</f>
        <v>16.7629804404441</v>
      </c>
      <c r="AQ208" s="25" t="n">
        <f aca="false">180 - AP208 -0.1468*(1-0.0549*SIN(R208))*SIN($A$4*AP208)/(1-0.0167*SIN($A$4*AO208))</f>
        <v>163.192926136222</v>
      </c>
      <c r="AR208" s="25" t="n">
        <f aca="false">SIN($A$4*AI208)</f>
        <v>0.976864075060238</v>
      </c>
      <c r="AS208" s="25" t="n">
        <f aca="false">COS($A$4*AI208)*SIN($A$4*$G$2) - TAN($A$4*AG208)*COS($A$4*$G$2)</f>
        <v>0.221754918791748</v>
      </c>
      <c r="AT208" s="25" t="n">
        <f aca="false">IF(OR(AND(AR208*AS208&gt;0), AND(AR208&lt;0,AS208&gt;0)), MOD(ATAN2(AS208,AR208)/$A$4+360,360),  ATAN2(AS208,AR208)/$A$4)</f>
        <v>77.2102156110539</v>
      </c>
      <c r="AU208" s="29" t="n">
        <f aca="false">(1+SIN($A$4*H208)*SIN($A$4*AJ208))*120*ASIN(0.272481*SIN($A$4*AJ208))/$A$4</f>
        <v>32.2874476691794</v>
      </c>
      <c r="AV208" s="10" t="n">
        <f aca="false">COS(X208)</f>
        <v>-0.641996194922735</v>
      </c>
      <c r="AW208" s="10" t="n">
        <f aca="false">SIN(X208)</f>
        <v>-0.766707822905655</v>
      </c>
      <c r="AX208" s="30" t="n">
        <f aca="false"> 385000.56 + (-20905355*COS(Q208) - 3699111*COS(2*S208-Q208) - 2955968*COS(2*S208) - 569925*COS(2*Q208) + (1-0.002516*M208)*48888*COS(R208) - 3149*COS(2*T208)  +246158*COS(2*S208-2*Q208) -(1-0.002516*M208)*152138*COS(2*S208-R208-Q208) -170733*COS(2*S208+Q208) -(1-0.002516*M208)*204586*COS(2*S208-R208) -(1-0.002516*M208)*129620*COS(R208-Q208)  + 108743*COS(S208) +(1-0.002516*M208)*104755*COS(R208+Q208) +10321*COS(2*S208-2*T208) +79661*COS(Q208-2*T208) -34782*COS(4*S208-Q208) -23210*COS(3*Q208)  -21636*COS(4*S208-2*Q208) +(1-0.002516*M208)*24208*COS(2*S208+R208-Q208) +(1-0.002516*M208)*30824*COS(2*S208+R208) -8379*COS(S208-Q208) -(1-0.002516*M208)*16675*COS(S208+R208)  -(1-0.002516*M208)*12831*COS(2*S208-R208+Q208) -10445*COS(2*S208+2*Q208) -11650*COS(4*S208) +14403*COS(2*S208-3*Q208) -(1-0.002516*M208)*7003*COS(R208-2*Q208)  + (1-0.002516*M208)*10056*COS(2*S208-R208-2*Q208) +6322*COS(S208+Q208) -(1-0.002516*M208)*(1-0.002516*M208)*9884*COS(2*S208-2*R208) +(1-0.002516*M208)*5751*COS(R208+2*Q208) -(1-0.002516*M208)*(1-0.002516*M208)*4950*COS(2*S208-2*R208-Q208)  +4130*COS(2*S208+Q208-2*T208) -(1-0.002516*M208)*3958*COS(4*S208-R208-Q208) +3258*COS(3*S208-Q208) +(1-0.002516*M208)*2616*COS(2*S208+R208+Q208) -(1-0.002516*M208)*1897*COS(4*S208-R208-2*Q208)  -(1-0.002516*M208)*(1-0.002516*M208)*2117*COS(2*R208-Q208) +(1-0.002516*M208)*(1-0.002516*M208)*2354*COS(2*S208+2*R208-Q208) -1423*COS(4*S208+Q208) -1117*COS(4*Q208) -(1-0.002516*M208)*1571*COS(4*S208-R208)  -1739*COS(S208-2*Q208) -4421*COS(2*Q208-2*T208) +(1-0.002516*M208)*(1-0.002516*M208)*1165*COS(2*R208+Q208) +8752*COS(2*S208-Q208-2*T208))/1000</f>
        <v>372065.632484266</v>
      </c>
      <c r="AY208" s="10" t="n">
        <f aca="false">AY207+1/8</f>
        <v>26.75</v>
      </c>
      <c r="AZ208" s="17" t="n">
        <f aca="false">AZ207+1</f>
        <v>207</v>
      </c>
      <c r="BA208" s="32" t="n">
        <f aca="false">ATAN(0.99664719*TAN($A$4*input!$E$2))</f>
        <v>-0.400219206115995</v>
      </c>
      <c r="BB208" s="32" t="n">
        <f aca="false">COS(BA208)</f>
        <v>0.920975608992155</v>
      </c>
      <c r="BC208" s="32" t="n">
        <f aca="false">0.99664719*SIN(BA208)</f>
        <v>-0.388313912533463</v>
      </c>
      <c r="BD208" s="32" t="n">
        <f aca="false">6378.14/AX208</f>
        <v>0.0171425131566531</v>
      </c>
      <c r="BE208" s="33" t="n">
        <f aca="false">MOD(N208-15*AH208,360)</f>
        <v>77.6512796699778</v>
      </c>
      <c r="BF208" s="27" t="n">
        <f aca="false">COS($A$4*AG208)*SIN($A$4*BE208)</f>
        <v>0.927192269699163</v>
      </c>
      <c r="BG208" s="27" t="n">
        <f aca="false">COS($A$4*AG208)*COS($A$4*BE208)-BB208*BD208</f>
        <v>0.187198825385283</v>
      </c>
      <c r="BH208" s="27" t="n">
        <f aca="false">SIN($A$4*AG208)-BC208*BD208</f>
        <v>-0.308162176494511</v>
      </c>
      <c r="BI208" s="46" t="n">
        <f aca="false">SQRT(BF208^2+BG208^2+BH208^2)</f>
        <v>0.994833067523064</v>
      </c>
      <c r="BJ208" s="35" t="n">
        <f aca="false">AX208*BI208</f>
        <v>370143.194484232</v>
      </c>
    </row>
    <row r="209" customFormat="false" ht="15" hidden="false" customHeight="false" outlineLevel="0" collapsed="false">
      <c r="A209" s="20"/>
      <c r="B209" s="20"/>
      <c r="C209" s="15" t="n">
        <f aca="false">MOD(C208+3,24)</f>
        <v>21</v>
      </c>
      <c r="D209" s="17" t="n">
        <v>26</v>
      </c>
      <c r="E209" s="102" t="n">
        <f aca="false">input!$C$2</f>
        <v>10</v>
      </c>
      <c r="F209" s="102" t="n">
        <f aca="false">input!$D$2</f>
        <v>2022</v>
      </c>
      <c r="H209" s="39" t="n">
        <f aca="false">AM209</f>
        <v>-19.6960968633818</v>
      </c>
      <c r="I209" s="48" t="n">
        <f aca="false">H209+1.02/(TAN($A$4*(H209+10.3/(H209+5.11)))*60)</f>
        <v>-19.7418029949831</v>
      </c>
      <c r="J209" s="39" t="n">
        <f aca="false">100*(1+COS($A$4*AQ209))/2</f>
        <v>2.57027975620046</v>
      </c>
      <c r="K209" s="48" t="n">
        <f aca="false">IF(AI209&gt;180,AT209-180,AT209+180)</f>
        <v>238.855034708828</v>
      </c>
      <c r="L209" s="10" t="n">
        <f aca="false">L208+1/8</f>
        <v>2459879.375</v>
      </c>
      <c r="M209" s="49" t="n">
        <f aca="false">(L209-2451545)/36525</f>
        <v>0.228182751540041</v>
      </c>
      <c r="N209" s="15" t="n">
        <f aca="false">MOD(280.46061837+360.98564736629*(L209-2451545)+0.000387933*M209^2-M209^3/38710000+$G$4,360)</f>
        <v>350.215406991541</v>
      </c>
      <c r="O209" s="18" t="n">
        <f aca="false">0.60643382+1336.85522467*M209 - 0.00000313*M209^2 - INT(0.60643382+1336.85522467*M209 - 0.00000313*M209^2)</f>
        <v>0.653737232909521</v>
      </c>
      <c r="P209" s="15" t="n">
        <f aca="false">22640*SIN(Q209)-4586*SIN(Q209-2*S209)+2370*SIN(2*S209)+769*SIN(2*Q209)-668*SIN(R209)-412*SIN(2*T209)-212*SIN(2*Q209-2*S209)-206*SIN(Q209+R209-2*S209)+192*SIN(Q209+2*S209)-165*SIN(R209-2*S209)-125*SIN(S209)-110*SIN(Q209+R209)+148*SIN(Q209-R209)-55*SIN(2*T209-2*S209)</f>
        <v>-12695.8437599159</v>
      </c>
      <c r="Q209" s="18" t="n">
        <f aca="false">2*PI()*(0.374897+1325.55241*M209 - INT(0.374897+1325.55241*M209))</f>
        <v>5.29731095970938</v>
      </c>
      <c r="R209" s="26" t="n">
        <f aca="false">2*PI()*(0.99312619+99.99735956*M209 - 0.00000044*M209^2 - INT(0.99312619+99.99735956*M209- 0.00000044*M209^2))</f>
        <v>5.09439922178125</v>
      </c>
      <c r="S209" s="26" t="n">
        <f aca="false">2*PI()*(0.827361+1236.853086*M209 - INT(0.827361+1236.853086*M209))</f>
        <v>0.351238944798319</v>
      </c>
      <c r="T209" s="26" t="n">
        <f aca="false">2*PI()*(0.259086+1342.227825*M209 - INT(0.259086+1342.227825*M209))</f>
        <v>3.34469223363895</v>
      </c>
      <c r="U209" s="26" t="n">
        <f aca="false">T209+(P209+412*SIN(2*T209)+541*SIN(R209))/206264.8062</f>
        <v>3.28149649286595</v>
      </c>
      <c r="V209" s="26" t="n">
        <f aca="false">T209-2*S209</f>
        <v>2.64221434404231</v>
      </c>
      <c r="W209" s="25" t="n">
        <f aca="false">-526*SIN(V209)+44*SIN(Q209+V209)-31*SIN(-Q209+V209)-23*SIN(R209+V209)+11*SIN(-R209+V209)-25*SIN(-2*Q209+T209)+21*SIN(-Q209+T209)</f>
        <v>-222.308582902804</v>
      </c>
      <c r="X209" s="26" t="n">
        <f aca="false">2*PI()*(O209+P209/1296000-INT(O209+P209/1296000))</f>
        <v>4.04600098909298</v>
      </c>
      <c r="Y209" s="26" t="n">
        <f aca="false">(18520*SIN(U209)+W209)/206264.8062</f>
        <v>-0.013598459347166</v>
      </c>
      <c r="Z209" s="26" t="n">
        <f aca="false">Y209*180/PI()</f>
        <v>-0.779134328472837</v>
      </c>
      <c r="AA209" s="26" t="n">
        <f aca="false">COS(Y209)*COS(X209)</f>
        <v>-0.618093618882883</v>
      </c>
      <c r="AB209" s="26" t="n">
        <f aca="false">COS(Y209)*SIN(X209)</f>
        <v>-0.785986877497072</v>
      </c>
      <c r="AC209" s="26" t="n">
        <f aca="false">SIN(Y209)</f>
        <v>-0.0135980402508377</v>
      </c>
      <c r="AD209" s="26" t="n">
        <f aca="false">COS($A$4*(23.4393-46.815*M209/3600))*AB209-SIN($A$4*(23.4393-46.815*M209/3600))*AC209</f>
        <v>-0.715736657980344</v>
      </c>
      <c r="AE209" s="26" t="n">
        <f aca="false">SIN($A$4*(23.4393-46.815*M209/3600))*AB209+COS($A$4*(23.4393-46.815*M209/3600))*AC209</f>
        <v>-0.325086626484987</v>
      </c>
      <c r="AF209" s="26" t="n">
        <f aca="false">SQRT(1-AE209*AE209)</f>
        <v>0.94568424184852</v>
      </c>
      <c r="AG209" s="10" t="n">
        <f aca="false">ATAN(AE209/AF209)/$A$4</f>
        <v>-18.9708233091955</v>
      </c>
      <c r="AH209" s="26" t="n">
        <f aca="false">IF(24*ATAN(AD209/(AA209+AF209))/PI()&gt;0,24*ATAN(AD209/(AA209+AF209))/PI(),24*ATAN(AD209/(AA209+AF209))/PI()+24)</f>
        <v>15.2791245881742</v>
      </c>
      <c r="AI209" s="10" t="n">
        <f aca="false">IF(N209-15*AH209&gt;0,N209-15*AH209,360+N209-15*AH209)</f>
        <v>121.028538168928</v>
      </c>
      <c r="AJ209" s="18" t="n">
        <f aca="false">0.950724+0.051818*COS(Q209)+0.009531*COS(2*S209-Q209)+0.007843*COS(2*S209)+0.002824*COS(2*Q209)+0.000857*COS(2*S209+Q209)+0.000533*COS(2*S209-R209)+0.000401*COS(2*S209-R209-Q209)+0.00032*COS(Q209-R209)-0.000271*COS(S209)</f>
        <v>0.983427410988881</v>
      </c>
      <c r="AK209" s="50" t="n">
        <f aca="false">ASIN(COS($A$4*$G$2)*COS($A$4*AG209)*COS($A$4*AI209)+SIN($A$4*$G$2)*SIN($A$4*AG209))/$A$4</f>
        <v>-18.7654230890615</v>
      </c>
      <c r="AL209" s="18" t="n">
        <f aca="false">ASIN((0.9983271+0.0016764*COS($A$4*2*$G$2))*COS($A$4*AK209)*SIN($A$4*AJ209))/$A$4</f>
        <v>0.930673774320322</v>
      </c>
      <c r="AM209" s="18" t="n">
        <f aca="false">AK209-AL209</f>
        <v>-19.6960968633818</v>
      </c>
      <c r="AN209" s="10" t="n">
        <f aca="false"> IF(280.4664567 + 360007.6982779*M209/10 + 0.03032028*M209^2/100 + M209^3/49931000&lt;0,MOD(280.4664567 + 360007.6982779*M209/10 + 0.03032028*M209^2/100 + M209^3/49931000+360,360),MOD(280.4664567 + 360007.6982779*M209/10 + 0.03032028*M209^2/100 + M209^3/49931000,360))</f>
        <v>215.221189352023</v>
      </c>
      <c r="AO209" s="27" t="n">
        <f aca="false"> AN209 + (1.9146 - 0.004817*M209 - 0.000014*M209^2)*SIN(R209)+ (0.019993 - 0.000101*M209)*SIN(2*R209)+ 0.00029*SIN(3*R209)</f>
        <v>213.431923533375</v>
      </c>
      <c r="AP209" s="18" t="n">
        <f aca="false">ACOS(COS(X209-$A$4*AO209)*COS(Y209))/$A$4</f>
        <v>18.4027872568638</v>
      </c>
      <c r="AQ209" s="25" t="n">
        <f aca="false">180 - AP209 -0.1468*(1-0.0549*SIN(R209))*SIN($A$4*AP209)/(1-0.0167*SIN($A$4*AO209))</f>
        <v>161.548951838044</v>
      </c>
      <c r="AR209" s="25" t="n">
        <f aca="false">SIN($A$4*AI209)</f>
        <v>0.856910661641131</v>
      </c>
      <c r="AS209" s="25" t="n">
        <f aca="false">COS($A$4*AI209)*SIN($A$4*$G$2) - TAN($A$4*AG209)*COS($A$4*$G$2)</f>
        <v>0.51783921040567</v>
      </c>
      <c r="AT209" s="25" t="n">
        <f aca="false">IF(OR(AND(AR209*AS209&gt;0), AND(AR209&lt;0,AS209&gt;0)), MOD(ATAN2(AS209,AR209)/$A$4+360,360),  ATAN2(AS209,AR209)/$A$4)</f>
        <v>58.8550347088279</v>
      </c>
      <c r="AU209" s="29" t="n">
        <f aca="false">(1+SIN($A$4*H209)*SIN($A$4*AJ209))*120*ASIN(0.272481*SIN($A$4*AJ209))/$A$4</f>
        <v>31.9683744288876</v>
      </c>
      <c r="AV209" s="10" t="n">
        <f aca="false">COS(X209)</f>
        <v>-0.618150771634217</v>
      </c>
      <c r="AW209" s="10" t="n">
        <f aca="false">SIN(X209)</f>
        <v>-0.786059554695459</v>
      </c>
      <c r="AX209" s="30" t="n">
        <f aca="false"> 385000.56 + (-20905355*COS(Q209) - 3699111*COS(2*S209-Q209) - 2955968*COS(2*S209) - 569925*COS(2*Q209) + (1-0.002516*M209)*48888*COS(R209) - 3149*COS(2*T209)  +246158*COS(2*S209-2*Q209) -(1-0.002516*M209)*152138*COS(2*S209-R209-Q209) -170733*COS(2*S209+Q209) -(1-0.002516*M209)*204586*COS(2*S209-R209) -(1-0.002516*M209)*129620*COS(R209-Q209)  + 108743*COS(S209) +(1-0.002516*M209)*104755*COS(R209+Q209) +10321*COS(2*S209-2*T209) +79661*COS(Q209-2*T209) -34782*COS(4*S209-Q209) -23210*COS(3*Q209)  -21636*COS(4*S209-2*Q209) +(1-0.002516*M209)*24208*COS(2*S209+R209-Q209) +(1-0.002516*M209)*30824*COS(2*S209+R209) -8379*COS(S209-Q209) -(1-0.002516*M209)*16675*COS(S209+R209)  -(1-0.002516*M209)*12831*COS(2*S209-R209+Q209) -10445*COS(2*S209+2*Q209) -11650*COS(4*S209) +14403*COS(2*S209-3*Q209) -(1-0.002516*M209)*7003*COS(R209-2*Q209)  + (1-0.002516*M209)*10056*COS(2*S209-R209-2*Q209) +6322*COS(S209+Q209) -(1-0.002516*M209)*(1-0.002516*M209)*9884*COS(2*S209-2*R209) +(1-0.002516*M209)*5751*COS(R209+2*Q209) -(1-0.002516*M209)*(1-0.002516*M209)*4950*COS(2*S209-2*R209-Q209)  +4130*COS(2*S209+Q209-2*T209) -(1-0.002516*M209)*3958*COS(4*S209-R209-Q209) +3258*COS(3*S209-Q209) +(1-0.002516*M209)*2616*COS(2*S209+R209+Q209) -(1-0.002516*M209)*1897*COS(4*S209-R209-2*Q209)  -(1-0.002516*M209)*(1-0.002516*M209)*2117*COS(2*R209-Q209) +(1-0.002516*M209)*(1-0.002516*M209)*2354*COS(2*S209+2*R209-Q209) -1423*COS(4*S209+Q209) -1117*COS(4*Q209) -(1-0.002516*M209)*1571*COS(4*S209-R209)  -1739*COS(S209-2*Q209) -4421*COS(2*Q209-2*T209) +(1-0.002516*M209)*(1-0.002516*M209)*1165*COS(2*R209+Q209) +8752*COS(2*S209-Q209-2*T209))/1000</f>
        <v>371733.486761145</v>
      </c>
      <c r="AY209" s="10" t="n">
        <f aca="false">AY208+1/8</f>
        <v>26.875</v>
      </c>
      <c r="AZ209" s="17" t="n">
        <f aca="false">AZ208+1</f>
        <v>208</v>
      </c>
      <c r="BA209" s="32" t="n">
        <f aca="false">ATAN(0.99664719*TAN($A$4*input!$E$2))</f>
        <v>-0.400219206115995</v>
      </c>
      <c r="BB209" s="32" t="n">
        <f aca="false">COS(BA209)</f>
        <v>0.920975608992155</v>
      </c>
      <c r="BC209" s="32" t="n">
        <f aca="false">0.99664719*SIN(BA209)</f>
        <v>-0.388313912533463</v>
      </c>
      <c r="BD209" s="32" t="n">
        <f aca="false">6378.14/AX209</f>
        <v>0.017157830077596</v>
      </c>
      <c r="BE209" s="33" t="n">
        <f aca="false">MOD(N209-15*AH209,360)</f>
        <v>121.028538168928</v>
      </c>
      <c r="BF209" s="27" t="n">
        <f aca="false">COS($A$4*AG209)*SIN($A$4*BE209)</f>
        <v>0.810366909386007</v>
      </c>
      <c r="BG209" s="27" t="n">
        <f aca="false">COS($A$4*AG209)*COS($A$4*BE209)-BB209*BD209</f>
        <v>-0.503269026460372</v>
      </c>
      <c r="BH209" s="27" t="n">
        <f aca="false">SIN($A$4*AG209)-BC209*BD209</f>
        <v>-0.318424002356972</v>
      </c>
      <c r="BI209" s="46" t="n">
        <f aca="false">SQRT(BF209^2+BG209^2+BH209^2)</f>
        <v>1.00566798005069</v>
      </c>
      <c r="BJ209" s="35" t="n">
        <f aca="false">AX209*BI209</f>
        <v>373840.464748281</v>
      </c>
    </row>
    <row r="210" customFormat="false" ht="15" hidden="false" customHeight="false" outlineLevel="0" collapsed="false">
      <c r="A210" s="20"/>
      <c r="B210" s="20"/>
      <c r="C210" s="15" t="n">
        <f aca="false">MOD(C209+3,24)</f>
        <v>0</v>
      </c>
      <c r="D210" s="36" t="n">
        <v>27</v>
      </c>
      <c r="E210" s="102" t="n">
        <f aca="false">input!$C$2</f>
        <v>10</v>
      </c>
      <c r="F210" s="102" t="n">
        <f aca="false">input!$D$2</f>
        <v>2022</v>
      </c>
      <c r="H210" s="39" t="n">
        <f aca="false">AM210</f>
        <v>-45.4783705482989</v>
      </c>
      <c r="I210" s="48" t="n">
        <f aca="false">H210+1.02/(TAN($A$4*(H210+10.3/(H210+5.11)))*60)</f>
        <v>-45.4949407472751</v>
      </c>
      <c r="J210" s="39" t="n">
        <f aca="false">100*(1+COS($A$4*AQ210))/2</f>
        <v>3.04479573346738</v>
      </c>
      <c r="K210" s="48" t="n">
        <f aca="false">IF(AI210&gt;180,AT210-180,AT210+180)</f>
        <v>200.92724281962</v>
      </c>
      <c r="L210" s="10" t="n">
        <f aca="false">L209+1/8</f>
        <v>2459879.5</v>
      </c>
      <c r="M210" s="49" t="n">
        <f aca="false">(L210-2451545)/36525</f>
        <v>0.228186173853525</v>
      </c>
      <c r="N210" s="15" t="n">
        <f aca="false">MOD(280.46061837+360.98564736629*(L210-2451545)+0.000387933*M210^2-M210^3/38710000+$G$4,360)</f>
        <v>35.3386129131541</v>
      </c>
      <c r="O210" s="18" t="n">
        <f aca="false">0.60643382+1336.85522467*M210 - 0.00000313*M210^2 - INT(0.60643382+1336.85522467*M210 - 0.00000313*M210^2)</f>
        <v>0.65831237056608</v>
      </c>
      <c r="P210" s="15" t="n">
        <f aca="false">22640*SIN(Q210)-4586*SIN(Q210-2*S210)+2370*SIN(2*S210)+769*SIN(2*Q210)-668*SIN(R210)-412*SIN(2*T210)-212*SIN(2*Q210-2*S210)-206*SIN(Q210+R210-2*S210)+192*SIN(Q210+2*S210)-165*SIN(R210-2*S210)-125*SIN(S210)-110*SIN(Q210+R210)+148*SIN(Q210-R210)-55*SIN(2*T210-2*S210)</f>
        <v>-12279.7030760345</v>
      </c>
      <c r="Q210" s="18" t="n">
        <f aca="false">2*PI()*(0.374897+1325.55241*M210 - INT(0.374897+1325.55241*M210))</f>
        <v>5.32581435268154</v>
      </c>
      <c r="R210" s="26" t="n">
        <f aca="false">2*PI()*(0.99312619+99.99735956*M210 - 0.00000044*M210^2 - INT(0.99312619+99.99735956*M210- 0.00000044*M210^2))</f>
        <v>5.09654946797935</v>
      </c>
      <c r="S210" s="26" t="n">
        <f aca="false">2*PI()*(0.827361+1236.853086*M210 - INT(0.827361+1236.853086*M210))</f>
        <v>0.377835033563599</v>
      </c>
      <c r="T210" s="26" t="n">
        <f aca="false">2*PI()*(0.259086+1342.227825*M210 - INT(0.259086+1342.227825*M210))</f>
        <v>3.37355419855671</v>
      </c>
      <c r="U210" s="26" t="n">
        <f aca="false">T210+(P210+412*SIN(2*T210)+541*SIN(R210))/206264.8062</f>
        <v>3.3124826171109</v>
      </c>
      <c r="V210" s="26" t="n">
        <f aca="false">T210-2*S210</f>
        <v>2.61788413142951</v>
      </c>
      <c r="W210" s="25" t="n">
        <f aca="false">-526*SIN(V210)+44*SIN(Q210+V210)-31*SIN(-Q210+V210)-23*SIN(R210+V210)+11*SIN(-R210+V210)-25*SIN(-2*Q210+T210)+21*SIN(-Q210+T210)</f>
        <v>-234.270024390394</v>
      </c>
      <c r="X210" s="26" t="n">
        <f aca="false">2*PI()*(O210+P210/1296000-INT(O210+P210/1296000))</f>
        <v>4.07676493376311</v>
      </c>
      <c r="Y210" s="26" t="n">
        <f aca="false">(18520*SIN(U210)+W210)/206264.8062</f>
        <v>-0.0164049819221547</v>
      </c>
      <c r="Z210" s="26" t="n">
        <f aca="false">Y210*180/PI()</f>
        <v>-0.939936227127876</v>
      </c>
      <c r="AA210" s="26" t="n">
        <f aca="false">COS(Y210)*COS(X210)</f>
        <v>-0.593599916312567</v>
      </c>
      <c r="AB210" s="26" t="n">
        <f aca="false">COS(Y210)*SIN(X210)</f>
        <v>-0.804593089743788</v>
      </c>
      <c r="AC210" s="26" t="n">
        <f aca="false">SIN(Y210)</f>
        <v>-0.0164042461045503</v>
      </c>
      <c r="AD210" s="26" t="n">
        <f aca="false">COS($A$4*(23.4393-46.815*M210/3600))*AB210-SIN($A$4*(23.4393-46.815*M210/3600))*AC210</f>
        <v>-0.731691794708956</v>
      </c>
      <c r="AE210" s="26" t="n">
        <f aca="false">SIN($A$4*(23.4393-46.815*M210/3600))*AB210+COS($A$4*(23.4393-46.815*M210/3600))*AC210</f>
        <v>-0.335061571818228</v>
      </c>
      <c r="AF210" s="26" t="n">
        <f aca="false">SQRT(1-AE210*AE210)</f>
        <v>0.942196233855081</v>
      </c>
      <c r="AG210" s="10" t="n">
        <f aca="false">ATAN(AE210/AF210)/$A$4</f>
        <v>-19.5762821372055</v>
      </c>
      <c r="AH210" s="26" t="n">
        <f aca="false">IF(24*ATAN(AD210/(AA210+AF210))/PI()&gt;0,24*ATAN(AD210/(AA210+AF210))/PI(),24*ATAN(AD210/(AA210+AF210))/PI()+24)</f>
        <v>15.3965734634623</v>
      </c>
      <c r="AI210" s="10" t="n">
        <f aca="false">IF(N210-15*AH210&gt;0,N210-15*AH210,360+N210-15*AH210)</f>
        <v>164.39001096122</v>
      </c>
      <c r="AJ210" s="18" t="n">
        <f aca="false">0.950724+0.051818*COS(Q210)+0.009531*COS(2*S210-Q210)+0.007843*COS(2*S210)+0.002824*COS(2*Q210)+0.000857*COS(2*S210+Q210)+0.000533*COS(2*S210-R210)+0.000401*COS(2*S210-R210-Q210)+0.00032*COS(Q210-R210)-0.000271*COS(S210)</f>
        <v>0.984275508958215</v>
      </c>
      <c r="AK210" s="50" t="n">
        <f aca="false">ASIN(COS($A$4*$G$2)*COS($A$4*AG210)*COS($A$4*AI210)+SIN($A$4*$G$2)*SIN($A$4*AG210))/$A$4</f>
        <v>-44.7800887081368</v>
      </c>
      <c r="AL210" s="18" t="n">
        <f aca="false">ASIN((0.9983271+0.0016764*COS($A$4*2*$G$2))*COS($A$4*AK210)*SIN($A$4*AJ210))/$A$4</f>
        <v>0.698281840162113</v>
      </c>
      <c r="AM210" s="18" t="n">
        <f aca="false">AK210-AL210</f>
        <v>-45.4783705482989</v>
      </c>
      <c r="AN210" s="10" t="n">
        <f aca="false"> IF(280.4664567 + 360007.6982779*M210/10 + 0.03032028*M210^2/100 + M210^3/49931000&lt;0,MOD(280.4664567 + 360007.6982779*M210/10 + 0.03032028*M210^2/100 + M210^3/49931000+360,360),MOD(280.4664567 + 360007.6982779*M210/10 + 0.03032028*M210^2/100 + M210^3/49931000,360))</f>
        <v>215.344395272508</v>
      </c>
      <c r="AO210" s="27" t="n">
        <f aca="false"> AN210 + (1.9146 - 0.004817*M210 - 0.000014*M210^2)*SIN(R210)+ (0.019993 - 0.000101*M210)*SIN(2*R210)+ 0.00029*SIN(3*R210)</f>
        <v>213.556603811877</v>
      </c>
      <c r="AP210" s="18" t="n">
        <f aca="false">ACOS(COS(X210-$A$4*AO210)*COS(Y210))/$A$4</f>
        <v>20.045963816205</v>
      </c>
      <c r="AQ210" s="25" t="n">
        <f aca="false">180 - AP210 -0.1468*(1-0.0549*SIN(R210))*SIN($A$4*AP210)/(1-0.0167*SIN($A$4*AO210))</f>
        <v>159.901639485093</v>
      </c>
      <c r="AR210" s="25" t="n">
        <f aca="false">SIN($A$4*AI210)</f>
        <v>0.269087735845699</v>
      </c>
      <c r="AS210" s="25" t="n">
        <f aca="false">COS($A$4*AI210)*SIN($A$4*$G$2) - TAN($A$4*AG210)*COS($A$4*$G$2)</f>
        <v>0.703667006903988</v>
      </c>
      <c r="AT210" s="25" t="n">
        <f aca="false">IF(OR(AND(AR210*AS210&gt;0), AND(AR210&lt;0,AS210&gt;0)), MOD(ATAN2(AS210,AR210)/$A$4+360,360),  ATAN2(AS210,AR210)/$A$4)</f>
        <v>20.9272428196196</v>
      </c>
      <c r="AU210" s="29" t="n">
        <f aca="false">(1+SIN($A$4*H210)*SIN($A$4*AJ210))*120*ASIN(0.272481*SIN($A$4*AJ210))/$A$4</f>
        <v>31.7879437491835</v>
      </c>
      <c r="AV210" s="10" t="n">
        <f aca="false">COS(X210)</f>
        <v>-0.59367980109372</v>
      </c>
      <c r="AW210" s="10" t="n">
        <f aca="false">SIN(X210)</f>
        <v>-0.804701369312443</v>
      </c>
      <c r="AX210" s="30" t="n">
        <f aca="false"> 385000.56 + (-20905355*COS(Q210) - 3699111*COS(2*S210-Q210) - 2955968*COS(2*S210) - 569925*COS(2*Q210) + (1-0.002516*M210)*48888*COS(R210) - 3149*COS(2*T210)  +246158*COS(2*S210-2*Q210) -(1-0.002516*M210)*152138*COS(2*S210-R210-Q210) -170733*COS(2*S210+Q210) -(1-0.002516*M210)*204586*COS(2*S210-R210) -(1-0.002516*M210)*129620*COS(R210-Q210)  + 108743*COS(S210) +(1-0.002516*M210)*104755*COS(R210+Q210) +10321*COS(2*S210-2*T210) +79661*COS(Q210-2*T210) -34782*COS(4*S210-Q210) -23210*COS(3*Q210)  -21636*COS(4*S210-2*Q210) +(1-0.002516*M210)*24208*COS(2*S210+R210-Q210) +(1-0.002516*M210)*30824*COS(2*S210+R210) -8379*COS(S210-Q210) -(1-0.002516*M210)*16675*COS(S210+R210)  -(1-0.002516*M210)*12831*COS(2*S210-R210+Q210) -10445*COS(2*S210+2*Q210) -11650*COS(4*S210) +14403*COS(2*S210-3*Q210) -(1-0.002516*M210)*7003*COS(R210-2*Q210)  + (1-0.002516*M210)*10056*COS(2*S210-R210-2*Q210) +6322*COS(S210+Q210) -(1-0.002516*M210)*(1-0.002516*M210)*9884*COS(2*S210-2*R210) +(1-0.002516*M210)*5751*COS(R210+2*Q210) -(1-0.002516*M210)*(1-0.002516*M210)*4950*COS(2*S210-2*R210-Q210)  +4130*COS(2*S210+Q210-2*T210) -(1-0.002516*M210)*3958*COS(4*S210-R210-Q210) +3258*COS(3*S210-Q210) +(1-0.002516*M210)*2616*COS(2*S210+R210+Q210) -(1-0.002516*M210)*1897*COS(4*S210-R210-2*Q210)  -(1-0.002516*M210)*(1-0.002516*M210)*2117*COS(2*R210-Q210) +(1-0.002516*M210)*(1-0.002516*M210)*2354*COS(2*S210+2*R210-Q210) -1423*COS(4*S210+Q210) -1117*COS(4*Q210) -(1-0.002516*M210)*1571*COS(4*S210-R210)  -1739*COS(S210-2*Q210) -4421*COS(2*Q210-2*T210) +(1-0.002516*M210)*(1-0.002516*M210)*1165*COS(2*R210+Q210) +8752*COS(2*S210-Q210-2*T210))/1000</f>
        <v>371416.666331384</v>
      </c>
      <c r="AY210" s="10" t="n">
        <f aca="false">AY209+1/8</f>
        <v>27</v>
      </c>
      <c r="AZ210" s="17" t="n">
        <f aca="false">AZ209+1</f>
        <v>209</v>
      </c>
      <c r="BA210" s="32" t="n">
        <f aca="false">ATAN(0.99664719*TAN($A$4*input!$E$2))</f>
        <v>-0.400219206115995</v>
      </c>
      <c r="BB210" s="32" t="n">
        <f aca="false">COS(BA210)</f>
        <v>0.920975608992155</v>
      </c>
      <c r="BC210" s="32" t="n">
        <f aca="false">0.99664719*SIN(BA210)</f>
        <v>-0.388313912533463</v>
      </c>
      <c r="BD210" s="32" t="n">
        <f aca="false">6378.14/AX210</f>
        <v>0.0171724657996616</v>
      </c>
      <c r="BE210" s="33" t="n">
        <f aca="false">MOD(N210-15*AH210,360)</f>
        <v>164.39001096122</v>
      </c>
      <c r="BF210" s="27" t="n">
        <f aca="false">COS($A$4*AG210)*SIN($A$4*BE210)</f>
        <v>0.253533451290408</v>
      </c>
      <c r="BG210" s="27" t="n">
        <f aca="false">COS($A$4*AG210)*COS($A$4*BE210)-BB210*BD210</f>
        <v>-0.923259377534227</v>
      </c>
      <c r="BH210" s="27" t="n">
        <f aca="false">SIN($A$4*AG210)-BC210*BD210</f>
        <v>-0.328393264435714</v>
      </c>
      <c r="BI210" s="46" t="n">
        <f aca="false">SQRT(BF210^2+BG210^2+BH210^2)</f>
        <v>1.01219031078887</v>
      </c>
      <c r="BJ210" s="35" t="n">
        <f aca="false">AX210*BI210</f>
        <v>375944.350926127</v>
      </c>
    </row>
    <row r="211" customFormat="false" ht="15" hidden="false" customHeight="false" outlineLevel="0" collapsed="false">
      <c r="A211" s="20"/>
      <c r="B211" s="20"/>
      <c r="C211" s="15" t="n">
        <f aca="false">MOD(C210+3,24)</f>
        <v>3</v>
      </c>
      <c r="D211" s="17" t="n">
        <v>27</v>
      </c>
      <c r="E211" s="102" t="n">
        <f aca="false">input!$C$2</f>
        <v>10</v>
      </c>
      <c r="F211" s="102" t="n">
        <f aca="false">input!$D$2</f>
        <v>2022</v>
      </c>
      <c r="H211" s="39" t="n">
        <f aca="false">AM211</f>
        <v>-39.8222277748685</v>
      </c>
      <c r="I211" s="48" t="n">
        <f aca="false">H211+1.02/(TAN($A$4*(H211+10.3/(H211+5.11)))*60)</f>
        <v>-39.842402375117</v>
      </c>
      <c r="J211" s="39" t="n">
        <f aca="false">100*(1+COS($A$4*AQ211))/2</f>
        <v>3.55911110371986</v>
      </c>
      <c r="K211" s="48" t="n">
        <f aca="false">IF(AI211&gt;180,AT211-180,AT211+180)</f>
        <v>145.764282917506</v>
      </c>
      <c r="L211" s="10" t="n">
        <f aca="false">L210+1/8</f>
        <v>2459879.625</v>
      </c>
      <c r="M211" s="49" t="n">
        <f aca="false">(L211-2451545)/36525</f>
        <v>0.228189596167009</v>
      </c>
      <c r="N211" s="15" t="n">
        <f aca="false">MOD(280.46061837+360.98564736629*(L211-2451545)+0.000387933*M211^2-M211^3/38710000+$G$4,360)</f>
        <v>80.4618188343011</v>
      </c>
      <c r="O211" s="18" t="n">
        <f aca="false">0.60643382+1336.85522467*M211 - 0.00000313*M211^2 - INT(0.60643382+1336.85522467*M211 - 0.00000313*M211^2)</f>
        <v>0.662887508222639</v>
      </c>
      <c r="P211" s="15" t="n">
        <f aca="false">22640*SIN(Q211)-4586*SIN(Q211-2*S211)+2370*SIN(2*S211)+769*SIN(2*Q211)-668*SIN(R211)-412*SIN(2*T211)-212*SIN(2*Q211-2*S211)-206*SIN(Q211+R211-2*S211)+192*SIN(Q211+2*S211)-165*SIN(R211-2*S211)-125*SIN(S211)-110*SIN(Q211+R211)+148*SIN(Q211-R211)-55*SIN(2*T211-2*S211)</f>
        <v>-11853.1726388411</v>
      </c>
      <c r="Q211" s="18" t="n">
        <f aca="false">2*PI()*(0.374897+1325.55241*M211 - INT(0.374897+1325.55241*M211))</f>
        <v>5.35431774565333</v>
      </c>
      <c r="R211" s="26" t="n">
        <f aca="false">2*PI()*(0.99312619+99.99735956*M211 - 0.00000044*M211^2 - INT(0.99312619+99.99735956*M211- 0.00000044*M211^2))</f>
        <v>5.09869971417743</v>
      </c>
      <c r="S211" s="26" t="n">
        <f aca="false">2*PI()*(0.827361+1236.853086*M211 - INT(0.827361+1236.853086*M211))</f>
        <v>0.404431122328165</v>
      </c>
      <c r="T211" s="26" t="n">
        <f aca="false">2*PI()*(0.259086+1342.227825*M211 - INT(0.259086+1342.227825*M211))</f>
        <v>3.40241616347447</v>
      </c>
      <c r="U211" s="26" t="n">
        <f aca="false">T211+(P211+412*SIN(2*T211)+541*SIN(R211))/206264.8062</f>
        <v>3.34351614627951</v>
      </c>
      <c r="V211" s="26" t="n">
        <f aca="false">T211-2*S211</f>
        <v>2.59355391881814</v>
      </c>
      <c r="W211" s="25" t="n">
        <f aca="false">-526*SIN(V211)+44*SIN(Q211+V211)-31*SIN(-Q211+V211)-23*SIN(R211+V211)+11*SIN(-R211+V211)-25*SIN(-2*Q211+T211)+21*SIN(-Q211+T211)</f>
        <v>-246.113528593343</v>
      </c>
      <c r="X211" s="26" t="n">
        <f aca="false">2*PI()*(O211+P211/1296000-INT(O211+P211/1296000))</f>
        <v>4.10757924937874</v>
      </c>
      <c r="Y211" s="26" t="n">
        <f aca="false">(18520*SIN(U211)+W211)/206264.8062</f>
        <v>-0.0192004432287665</v>
      </c>
      <c r="Z211" s="26" t="n">
        <f aca="false">Y211*180/PI()</f>
        <v>-1.10010436178886</v>
      </c>
      <c r="AA211" s="26" t="n">
        <f aca="false">COS(Y211)*COS(X211)</f>
        <v>-0.568500762320339</v>
      </c>
      <c r="AB211" s="26" t="n">
        <f aca="false">COS(Y211)*SIN(X211)</f>
        <v>-0.822458674658765</v>
      </c>
      <c r="AC211" s="26" t="n">
        <f aca="false">SIN(Y211)</f>
        <v>-0.0191992635208143</v>
      </c>
      <c r="AD211" s="26" t="n">
        <f aca="false">COS($A$4*(23.4393-46.815*M211/3600))*AB211-SIN($A$4*(23.4393-46.815*M211/3600))*AC211</f>
        <v>-0.746971853924975</v>
      </c>
      <c r="AE211" s="26" t="n">
        <f aca="false">SIN($A$4*(23.4393-46.815*M211/3600))*AB211+COS($A$4*(23.4393-46.815*M211/3600))*AC211</f>
        <v>-0.344731682160314</v>
      </c>
      <c r="AF211" s="26" t="n">
        <f aca="false">SQRT(1-AE211*AE211)</f>
        <v>0.938701266279598</v>
      </c>
      <c r="AG211" s="10" t="n">
        <f aca="false">ATAN(AE211/AF211)/$A$4</f>
        <v>-20.1654175137254</v>
      </c>
      <c r="AH211" s="26" t="n">
        <f aca="false">IF(24*ATAN(AD211/(AA211+AF211))/PI()&gt;0,24*ATAN(AD211/(AA211+AF211))/PI(),24*ATAN(AD211/(AA211+AF211))/PI()+24)</f>
        <v>15.5150789938562</v>
      </c>
      <c r="AI211" s="10" t="n">
        <f aca="false">IF(N211-15*AH211&gt;0,N211-15*AH211,360+N211-15*AH211)</f>
        <v>207.735633926458</v>
      </c>
      <c r="AJ211" s="18" t="n">
        <f aca="false">0.950724+0.051818*COS(Q211)+0.009531*COS(2*S211-Q211)+0.007843*COS(2*S211)+0.002824*COS(2*Q211)+0.000857*COS(2*S211+Q211)+0.000533*COS(2*S211-R211)+0.000401*COS(2*S211-R211-Q211)+0.00032*COS(Q211-R211)-0.000271*COS(S211)</f>
        <v>0.985082206313165</v>
      </c>
      <c r="AK211" s="50" t="n">
        <f aca="false">ASIN(COS($A$4*$G$2)*COS($A$4*AG211)*COS($A$4*AI211)+SIN($A$4*$G$2)*SIN($A$4*AG211))/$A$4</f>
        <v>-39.0577036991614</v>
      </c>
      <c r="AL211" s="18" t="n">
        <f aca="false">ASIN((0.9983271+0.0016764*COS($A$4*2*$G$2))*COS($A$4*AK211)*SIN($A$4*AJ211))/$A$4</f>
        <v>0.764524075707115</v>
      </c>
      <c r="AM211" s="18" t="n">
        <f aca="false">AK211-AL211</f>
        <v>-39.8222277748685</v>
      </c>
      <c r="AN211" s="10" t="n">
        <f aca="false"> IF(280.4664567 + 360007.6982779*M211/10 + 0.03032028*M211^2/100 + M211^3/49931000&lt;0,MOD(280.4664567 + 360007.6982779*M211/10 + 0.03032028*M211^2/100 + M211^3/49931000+360,360),MOD(280.4664567 + 360007.6982779*M211/10 + 0.03032028*M211^2/100 + M211^3/49931000,360))</f>
        <v>215.467601192995</v>
      </c>
      <c r="AO211" s="27" t="n">
        <f aca="false"> AN211 + (1.9146 - 0.004817*M211 - 0.000014*M211^2)*SIN(R211)+ (0.019993 - 0.000101*M211)*SIN(2*R211)+ 0.00029*SIN(3*R211)</f>
        <v>213.681292544448</v>
      </c>
      <c r="AP211" s="18" t="n">
        <f aca="false">ACOS(COS(X211-$A$4*AO211)*COS(Y211))/$A$4</f>
        <v>21.6922317425763</v>
      </c>
      <c r="AQ211" s="25" t="n">
        <f aca="false">180 - AP211 -0.1468*(1-0.0549*SIN(R211))*SIN($A$4*AP211)/(1-0.0167*SIN($A$4*AO211))</f>
        <v>158.251271797364</v>
      </c>
      <c r="AR211" s="25" t="n">
        <f aca="false">SIN($A$4*AI211)</f>
        <v>-0.465392608064744</v>
      </c>
      <c r="AS211" s="25" t="n">
        <f aca="false">COS($A$4*AI211)*SIN($A$4*$G$2) - TAN($A$4*AG211)*COS($A$4*$G$2)</f>
        <v>0.683886996501807</v>
      </c>
      <c r="AT211" s="25" t="n">
        <f aca="false">IF(OR(AND(AR211*AS211&gt;0), AND(AR211&lt;0,AS211&gt;0)), MOD(ATAN2(AS211,AR211)/$A$4+360,360),  ATAN2(AS211,AR211)/$A$4)</f>
        <v>325.764282917506</v>
      </c>
      <c r="AU211" s="29" t="n">
        <f aca="false">(1+SIN($A$4*H211)*SIN($A$4*AJ211))*120*ASIN(0.272481*SIN($A$4*AJ211))/$A$4</f>
        <v>31.8538597338197</v>
      </c>
      <c r="AV211" s="10" t="n">
        <f aca="false">COS(X211)</f>
        <v>-0.568605569317882</v>
      </c>
      <c r="AW211" s="10" t="n">
        <f aca="false">SIN(X211)</f>
        <v>-0.822610300531599</v>
      </c>
      <c r="AX211" s="30" t="n">
        <f aca="false"> 385000.56 + (-20905355*COS(Q211) - 3699111*COS(2*S211-Q211) - 2955968*COS(2*S211) - 569925*COS(2*Q211) + (1-0.002516*M211)*48888*COS(R211) - 3149*COS(2*T211)  +246158*COS(2*S211-2*Q211) -(1-0.002516*M211)*152138*COS(2*S211-R211-Q211) -170733*COS(2*S211+Q211) -(1-0.002516*M211)*204586*COS(2*S211-R211) -(1-0.002516*M211)*129620*COS(R211-Q211)  + 108743*COS(S211) +(1-0.002516*M211)*104755*COS(R211+Q211) +10321*COS(2*S211-2*T211) +79661*COS(Q211-2*T211) -34782*COS(4*S211-Q211) -23210*COS(3*Q211)  -21636*COS(4*S211-2*Q211) +(1-0.002516*M211)*24208*COS(2*S211+R211-Q211) +(1-0.002516*M211)*30824*COS(2*S211+R211) -8379*COS(S211-Q211) -(1-0.002516*M211)*16675*COS(S211+R211)  -(1-0.002516*M211)*12831*COS(2*S211-R211+Q211) -10445*COS(2*S211+2*Q211) -11650*COS(4*S211) +14403*COS(2*S211-3*Q211) -(1-0.002516*M211)*7003*COS(R211-2*Q211)  + (1-0.002516*M211)*10056*COS(2*S211-R211-2*Q211) +6322*COS(S211+Q211) -(1-0.002516*M211)*(1-0.002516*M211)*9884*COS(2*S211-2*R211) +(1-0.002516*M211)*5751*COS(R211+2*Q211) -(1-0.002516*M211)*(1-0.002516*M211)*4950*COS(2*S211-2*R211-Q211)  +4130*COS(2*S211+Q211-2*T211) -(1-0.002516*M211)*3958*COS(4*S211-R211-Q211) +3258*COS(3*S211-Q211) +(1-0.002516*M211)*2616*COS(2*S211+R211+Q211) -(1-0.002516*M211)*1897*COS(4*S211-R211-2*Q211)  -(1-0.002516*M211)*(1-0.002516*M211)*2117*COS(2*R211-Q211) +(1-0.002516*M211)*(1-0.002516*M211)*2354*COS(2*S211+2*R211-Q211) -1423*COS(4*S211+Q211) -1117*COS(4*Q211) -(1-0.002516*M211)*1571*COS(4*S211-R211)  -1739*COS(S211-2*Q211) -4421*COS(2*Q211-2*T211) +(1-0.002516*M211)*(1-0.002516*M211)*1165*COS(2*R211+Q211) +8752*COS(2*S211-Q211-2*T211))/1000</f>
        <v>371115.295170574</v>
      </c>
      <c r="AY211" s="10" t="n">
        <f aca="false">AY210+1/8</f>
        <v>27.125</v>
      </c>
      <c r="AZ211" s="17" t="n">
        <f aca="false">AZ210+1</f>
        <v>210</v>
      </c>
      <c r="BA211" s="32" t="n">
        <f aca="false">ATAN(0.99664719*TAN($A$4*input!$E$2))</f>
        <v>-0.400219206115995</v>
      </c>
      <c r="BB211" s="32" t="n">
        <f aca="false">COS(BA211)</f>
        <v>0.920975608992155</v>
      </c>
      <c r="BC211" s="32" t="n">
        <f aca="false">0.99664719*SIN(BA211)</f>
        <v>-0.388313912533463</v>
      </c>
      <c r="BD211" s="32" t="n">
        <f aca="false">6378.14/AX211</f>
        <v>0.0171864110237452</v>
      </c>
      <c r="BE211" s="33" t="n">
        <f aca="false">MOD(N211-15*AH211,360)</f>
        <v>207.735633926458</v>
      </c>
      <c r="BF211" s="27" t="n">
        <f aca="false">COS($A$4*AG211)*SIN($A$4*BE211)</f>
        <v>-0.43686463050754</v>
      </c>
      <c r="BG211" s="27" t="n">
        <f aca="false">COS($A$4*AG211)*COS($A$4*BE211)-BB211*BD211</f>
        <v>-0.846676844780306</v>
      </c>
      <c r="BH211" s="27" t="n">
        <f aca="false">SIN($A$4*AG211)-BC211*BD211</f>
        <v>-0.338057959653275</v>
      </c>
      <c r="BI211" s="46" t="n">
        <f aca="false">SQRT(BF211^2+BG211^2+BH211^2)</f>
        <v>1.01093796494175</v>
      </c>
      <c r="BJ211" s="35" t="n">
        <f aca="false">AX211*BI211</f>
        <v>375174.541258496</v>
      </c>
    </row>
    <row r="212" customFormat="false" ht="15" hidden="false" customHeight="false" outlineLevel="0" collapsed="false">
      <c r="A212" s="20"/>
      <c r="B212" s="20"/>
      <c r="C212" s="15" t="n">
        <f aca="false">MOD(C211+3,24)</f>
        <v>6</v>
      </c>
      <c r="D212" s="17" t="n">
        <v>27</v>
      </c>
      <c r="E212" s="102" t="n">
        <f aca="false">input!$C$2</f>
        <v>10</v>
      </c>
      <c r="F212" s="102" t="n">
        <f aca="false">input!$D$2</f>
        <v>2022</v>
      </c>
      <c r="H212" s="39" t="n">
        <f aca="false">AM212</f>
        <v>-9.08063451463208</v>
      </c>
      <c r="I212" s="48" t="n">
        <f aca="false">H212+1.02/(TAN($A$4*(H212+10.3/(H212+5.11)))*60)</f>
        <v>-9.16290749959937</v>
      </c>
      <c r="J212" s="39" t="n">
        <f aca="false">100*(1+COS($A$4*AQ212))/2</f>
        <v>4.11292584371248</v>
      </c>
      <c r="K212" s="48" t="n">
        <f aca="false">IF(AI212&gt;180,AT212-180,AT212+180)</f>
        <v>116.679279907706</v>
      </c>
      <c r="L212" s="10" t="n">
        <f aca="false">L211+1/8</f>
        <v>2459879.75</v>
      </c>
      <c r="M212" s="49" t="n">
        <f aca="false">(L212-2451545)/36525</f>
        <v>0.228193018480493</v>
      </c>
      <c r="N212" s="15" t="n">
        <f aca="false">MOD(280.46061837+360.98564736629*(L212-2451545)+0.000387933*M212^2-M212^3/38710000+$G$4,360)</f>
        <v>125.585024755448</v>
      </c>
      <c r="O212" s="18" t="n">
        <f aca="false">0.60643382+1336.85522467*M212 - 0.00000313*M212^2 - INT(0.60643382+1336.85522467*M212 - 0.00000313*M212^2)</f>
        <v>0.667462645879141</v>
      </c>
      <c r="P212" s="15" t="n">
        <f aca="false">22640*SIN(Q212)-4586*SIN(Q212-2*S212)+2370*SIN(2*S212)+769*SIN(2*Q212)-668*SIN(R212)-412*SIN(2*T212)-212*SIN(2*Q212-2*S212)-206*SIN(Q212+R212-2*S212)+192*SIN(Q212+2*S212)-165*SIN(R212-2*S212)-125*SIN(S212)-110*SIN(Q212+R212)+148*SIN(Q212-R212)-55*SIN(2*T212-2*S212)</f>
        <v>-11416.7832456984</v>
      </c>
      <c r="Q212" s="18" t="n">
        <f aca="false">2*PI()*(0.374897+1325.55241*M212 - INT(0.374897+1325.55241*M212))</f>
        <v>5.38282113862513</v>
      </c>
      <c r="R212" s="26" t="n">
        <f aca="false">2*PI()*(0.99312619+99.99735956*M212 - 0.00000044*M212^2 - INT(0.99312619+99.99735956*M212- 0.00000044*M212^2))</f>
        <v>5.10084996037554</v>
      </c>
      <c r="S212" s="26" t="n">
        <f aca="false">2*PI()*(0.827361+1236.853086*M212 - INT(0.827361+1236.853086*M212))</f>
        <v>0.431027211093088</v>
      </c>
      <c r="T212" s="26" t="n">
        <f aca="false">2*PI()*(0.259086+1342.227825*M212 - INT(0.259086+1342.227825*M212))</f>
        <v>3.43127812839187</v>
      </c>
      <c r="U212" s="26" t="n">
        <f aca="false">T212+(P212+412*SIN(2*T212)+541*SIN(R212))/206264.8062</f>
        <v>3.37459416865068</v>
      </c>
      <c r="V212" s="26" t="n">
        <f aca="false">T212-2*S212</f>
        <v>2.5692237062057</v>
      </c>
      <c r="W212" s="25" t="n">
        <f aca="false">-526*SIN(V212)+44*SIN(Q212+V212)-31*SIN(-Q212+V212)-23*SIN(R212+V212)+11*SIN(-R212+V212)-25*SIN(-2*Q212+T212)+21*SIN(-Q212+T212)</f>
        <v>-257.828882633171</v>
      </c>
      <c r="X212" s="26" t="n">
        <f aca="false">2*PI()*(O212+P212/1296000-INT(O212+P212/1296000))</f>
        <v>4.13844136256126</v>
      </c>
      <c r="Y212" s="26" t="n">
        <f aca="false">(18520*SIN(U212)+W212)/206264.8062</f>
        <v>-0.0219818292169234</v>
      </c>
      <c r="Z212" s="26" t="n">
        <f aca="false">Y212*180/PI()</f>
        <v>-1.25946604010708</v>
      </c>
      <c r="AA212" s="26" t="n">
        <f aca="false">COS(Y212)*COS(X212)</f>
        <v>-0.542820166691268</v>
      </c>
      <c r="AB212" s="26" t="n">
        <f aca="false">COS(Y212)*SIN(X212)</f>
        <v>-0.839561280455574</v>
      </c>
      <c r="AC212" s="26" t="n">
        <f aca="false">SIN(Y212)</f>
        <v>-0.0219800589867247</v>
      </c>
      <c r="AD212" s="26" t="n">
        <f aca="false">COS($A$4*(23.4393-46.815*M212/3600))*AB212-SIN($A$4*(23.4393-46.815*M212/3600))*AC212</f>
        <v>-0.76155753432393</v>
      </c>
      <c r="AE212" s="26" t="n">
        <f aca="false">SIN($A$4*(23.4393-46.815*M212/3600))*AB212+COS($A$4*(23.4393-46.815*M212/3600))*AC212</f>
        <v>-0.35408528428575</v>
      </c>
      <c r="AF212" s="26" t="n">
        <f aca="false">SQRT(1-AE212*AE212)</f>
        <v>0.935213136911731</v>
      </c>
      <c r="AG212" s="10" t="n">
        <f aca="false">ATAN(AE212/AF212)/$A$4</f>
        <v>-20.7373939854159</v>
      </c>
      <c r="AH212" s="26" t="n">
        <f aca="false">IF(24*ATAN(AD212/(AA212+AF212))/PI()&gt;0,24*ATAN(AD212/(AA212+AF212))/PI(),24*ATAN(AD212/(AA212+AF212))/PI()+24)</f>
        <v>15.6346419106592</v>
      </c>
      <c r="AI212" s="10" t="n">
        <f aca="false">IF(N212-15*AH212&gt;0,N212-15*AH212,360+N212-15*AH212)</f>
        <v>251.065396095559</v>
      </c>
      <c r="AJ212" s="18" t="n">
        <f aca="false">0.950724+0.051818*COS(Q212)+0.009531*COS(2*S212-Q212)+0.007843*COS(2*S212)+0.002824*COS(2*Q212)+0.000857*COS(2*S212+Q212)+0.000533*COS(2*S212-R212)+0.000401*COS(2*S212-R212-Q212)+0.00032*COS(Q212-R212)-0.000271*COS(S212)</f>
        <v>0.985846999282911</v>
      </c>
      <c r="AK212" s="50" t="n">
        <f aca="false">ASIN(COS($A$4*$G$2)*COS($A$4*AG212)*COS($A$4*AI212)+SIN($A$4*$G$2)*SIN($A$4*AG212))/$A$4</f>
        <v>-8.10513228730911</v>
      </c>
      <c r="AL212" s="18" t="n">
        <f aca="false">ASIN((0.9983271+0.0016764*COS($A$4*2*$G$2))*COS($A$4*AK212)*SIN($A$4*AJ212))/$A$4</f>
        <v>0.975502227322968</v>
      </c>
      <c r="AM212" s="18" t="n">
        <f aca="false">AK212-AL212</f>
        <v>-9.08063451463208</v>
      </c>
      <c r="AN212" s="10" t="n">
        <f aca="false"> IF(280.4664567 + 360007.6982779*M212/10 + 0.03032028*M212^2/100 + M212^3/49931000&lt;0,MOD(280.4664567 + 360007.6982779*M212/10 + 0.03032028*M212^2/100 + M212^3/49931000+360,360),MOD(280.4664567 + 360007.6982779*M212/10 + 0.03032028*M212^2/100 + M212^3/49931000,360))</f>
        <v>215.590807113482</v>
      </c>
      <c r="AO212" s="27" t="n">
        <f aca="false"> AN212 + (1.9146 - 0.004817*M212 - 0.000014*M212^2)*SIN(R212)+ (0.019993 - 0.000101*M212)*SIN(2*R212)+ 0.00029*SIN(3*R212)</f>
        <v>213.805989725147</v>
      </c>
      <c r="AP212" s="18" t="n">
        <f aca="false">ACOS(COS(X212-$A$4*AO212)*COS(Y212))/$A$4</f>
        <v>23.3413400402141</v>
      </c>
      <c r="AQ212" s="25" t="n">
        <f aca="false">180 - AP212 -0.1468*(1-0.0549*SIN(R212))*SIN($A$4*AP212)/(1-0.0167*SIN($A$4*AO212))</f>
        <v>156.598104020325</v>
      </c>
      <c r="AR212" s="25" t="n">
        <f aca="false">SIN($A$4*AI212)</f>
        <v>-0.945889555699188</v>
      </c>
      <c r="AS212" s="25" t="n">
        <f aca="false">COS($A$4*AI212)*SIN($A$4*$G$2) - TAN($A$4*AG212)*COS($A$4*$G$2)</f>
        <v>0.475304369619389</v>
      </c>
      <c r="AT212" s="25" t="n">
        <f aca="false">IF(OR(AND(AR212*AS212&gt;0), AND(AR212&lt;0,AS212&gt;0)), MOD(ATAN2(AS212,AR212)/$A$4+360,360),  ATAN2(AS212,AR212)/$A$4)</f>
        <v>296.679279907706</v>
      </c>
      <c r="AU212" s="29" t="n">
        <f aca="false">(1+SIN($A$4*H212)*SIN($A$4*AJ212))*120*ASIN(0.272481*SIN($A$4*AJ212))/$A$4</f>
        <v>32.1459487813952</v>
      </c>
      <c r="AV212" s="10" t="n">
        <f aca="false">COS(X212)</f>
        <v>-0.542951338674146</v>
      </c>
      <c r="AW212" s="10" t="n">
        <f aca="false">SIN(X212)</f>
        <v>-0.839764159649573</v>
      </c>
      <c r="AX212" s="30" t="n">
        <f aca="false"> 385000.56 + (-20905355*COS(Q212) - 3699111*COS(2*S212-Q212) - 2955968*COS(2*S212) - 569925*COS(2*Q212) + (1-0.002516*M212)*48888*COS(R212) - 3149*COS(2*T212)  +246158*COS(2*S212-2*Q212) -(1-0.002516*M212)*152138*COS(2*S212-R212-Q212) -170733*COS(2*S212+Q212) -(1-0.002516*M212)*204586*COS(2*S212-R212) -(1-0.002516*M212)*129620*COS(R212-Q212)  + 108743*COS(S212) +(1-0.002516*M212)*104755*COS(R212+Q212) +10321*COS(2*S212-2*T212) +79661*COS(Q212-2*T212) -34782*COS(4*S212-Q212) -23210*COS(3*Q212)  -21636*COS(4*S212-2*Q212) +(1-0.002516*M212)*24208*COS(2*S212+R212-Q212) +(1-0.002516*M212)*30824*COS(2*S212+R212) -8379*COS(S212-Q212) -(1-0.002516*M212)*16675*COS(S212+R212)  -(1-0.002516*M212)*12831*COS(2*S212-R212+Q212) -10445*COS(2*S212+2*Q212) -11650*COS(4*S212) +14403*COS(2*S212-3*Q212) -(1-0.002516*M212)*7003*COS(R212-2*Q212)  + (1-0.002516*M212)*10056*COS(2*S212-R212-2*Q212) +6322*COS(S212+Q212) -(1-0.002516*M212)*(1-0.002516*M212)*9884*COS(2*S212-2*R212) +(1-0.002516*M212)*5751*COS(R212+2*Q212) -(1-0.002516*M212)*(1-0.002516*M212)*4950*COS(2*S212-2*R212-Q212)  +4130*COS(2*S212+Q212-2*T212) -(1-0.002516*M212)*3958*COS(4*S212-R212-Q212) +3258*COS(3*S212-Q212) +(1-0.002516*M212)*2616*COS(2*S212+R212+Q212) -(1-0.002516*M212)*1897*COS(4*S212-R212-2*Q212)  -(1-0.002516*M212)*(1-0.002516*M212)*2117*COS(2*R212-Q212) +(1-0.002516*M212)*(1-0.002516*M212)*2354*COS(2*S212+2*R212-Q212) -1423*COS(4*S212+Q212) -1117*COS(4*Q212) -(1-0.002516*M212)*1571*COS(4*S212-R212)  -1739*COS(S212-2*Q212) -4421*COS(2*Q212-2*T212) +(1-0.002516*M212)*(1-0.002516*M212)*1165*COS(2*R212+Q212) +8752*COS(2*S212-Q212-2*T212))/1000</f>
        <v>370829.468950921</v>
      </c>
      <c r="AY212" s="10" t="n">
        <f aca="false">AY211+1/8</f>
        <v>27.25</v>
      </c>
      <c r="AZ212" s="17" t="n">
        <f aca="false">AZ211+1</f>
        <v>211</v>
      </c>
      <c r="BA212" s="32" t="n">
        <f aca="false">ATAN(0.99664719*TAN($A$4*input!$E$2))</f>
        <v>-0.400219206115995</v>
      </c>
      <c r="BB212" s="32" t="n">
        <f aca="false">COS(BA212)</f>
        <v>0.920975608992155</v>
      </c>
      <c r="BC212" s="32" t="n">
        <f aca="false">0.99664719*SIN(BA212)</f>
        <v>-0.388313912533463</v>
      </c>
      <c r="BD212" s="32" t="n">
        <f aca="false">6378.14/AX212</f>
        <v>0.0171996578859922</v>
      </c>
      <c r="BE212" s="33" t="n">
        <f aca="false">MOD(N212-15*AH212,360)</f>
        <v>251.065396095559</v>
      </c>
      <c r="BF212" s="27" t="n">
        <f aca="false">COS($A$4*AG212)*SIN($A$4*BE212)</f>
        <v>-0.884608338557481</v>
      </c>
      <c r="BG212" s="27" t="n">
        <f aca="false">COS($A$4*AG212)*COS($A$4*BE212)-BB212*BD212</f>
        <v>-0.319306606516978</v>
      </c>
      <c r="BH212" s="27" t="n">
        <f aca="false">SIN($A$4*AG212)-BC212*BD212</f>
        <v>-0.347406417837803</v>
      </c>
      <c r="BI212" s="46" t="n">
        <f aca="false">SQRT(BF212^2+BG212^2+BH212^2)</f>
        <v>1.00258657519723</v>
      </c>
      <c r="BJ212" s="35" t="n">
        <f aca="false">AX212*BI212</f>
        <v>371788.647257711</v>
      </c>
    </row>
    <row r="213" customFormat="false" ht="15" hidden="false" customHeight="false" outlineLevel="0" collapsed="false">
      <c r="A213" s="20"/>
      <c r="B213" s="20"/>
      <c r="C213" s="15" t="n">
        <f aca="false">MOD(C212+3,24)</f>
        <v>9</v>
      </c>
      <c r="D213" s="17" t="n">
        <v>27</v>
      </c>
      <c r="E213" s="102" t="n">
        <f aca="false">input!$C$2</f>
        <v>10</v>
      </c>
      <c r="F213" s="102" t="n">
        <f aca="false">input!$D$2</f>
        <v>2022</v>
      </c>
      <c r="H213" s="39" t="n">
        <f aca="false">AM213</f>
        <v>28.8733209517058</v>
      </c>
      <c r="I213" s="48" t="n">
        <f aca="false">H213+1.02/(TAN($A$4*(H213+10.3/(H213+5.11)))*60)</f>
        <v>28.9037682987244</v>
      </c>
      <c r="J213" s="39" t="n">
        <f aca="false">100*(1+COS($A$4*AQ213))/2</f>
        <v>4.70588665594782</v>
      </c>
      <c r="K213" s="48" t="n">
        <f aca="false">IF(AI213&gt;180,AT213-180,AT213+180)</f>
        <v>102.231059877072</v>
      </c>
      <c r="L213" s="10" t="n">
        <f aca="false">L212+1/8</f>
        <v>2459879.875</v>
      </c>
      <c r="M213" s="49" t="n">
        <f aca="false">(L213-2451545)/36525</f>
        <v>0.228196440793977</v>
      </c>
      <c r="N213" s="15" t="n">
        <f aca="false">MOD(280.46061837+360.98564736629*(L213-2451545)+0.000387933*M213^2-M213^3/38710000+$G$4,360)</f>
        <v>170.708230676595</v>
      </c>
      <c r="O213" s="18" t="n">
        <f aca="false">0.60643382+1336.85522467*M213 - 0.00000313*M213^2 - INT(0.60643382+1336.85522467*M213 - 0.00000313*M213^2)</f>
        <v>0.6720377835357</v>
      </c>
      <c r="P213" s="15" t="n">
        <f aca="false">22640*SIN(Q213)-4586*SIN(Q213-2*S213)+2370*SIN(2*S213)+769*SIN(2*Q213)-668*SIN(R213)-412*SIN(2*T213)-212*SIN(2*Q213-2*S213)-206*SIN(Q213+R213-2*S213)+192*SIN(Q213+2*S213)-165*SIN(R213-2*S213)-125*SIN(S213)-110*SIN(Q213+R213)+148*SIN(Q213-R213)-55*SIN(2*T213-2*S213)</f>
        <v>-10971.072237724</v>
      </c>
      <c r="Q213" s="18" t="n">
        <f aca="false">2*PI()*(0.374897+1325.55241*M213 - INT(0.374897+1325.55241*M213))</f>
        <v>5.41132453159729</v>
      </c>
      <c r="R213" s="26" t="n">
        <f aca="false">2*PI()*(0.99312619+99.99735956*M213 - 0.00000044*M213^2 - INT(0.99312619+99.99735956*M213- 0.00000044*M213^2))</f>
        <v>5.10300020657362</v>
      </c>
      <c r="S213" s="26" t="n">
        <f aca="false">2*PI()*(0.827361+1236.853086*M213 - INT(0.827361+1236.853086*M213))</f>
        <v>0.45762329985801</v>
      </c>
      <c r="T213" s="26" t="n">
        <f aca="false">2*PI()*(0.259086+1342.227825*M213 - INT(0.259086+1342.227825*M213))</f>
        <v>3.46014009330963</v>
      </c>
      <c r="U213" s="26" t="n">
        <f aca="false">T213+(P213+412*SIN(2*T213)+541*SIN(R213))/206264.8062</f>
        <v>3.40571375182398</v>
      </c>
      <c r="V213" s="26" t="n">
        <f aca="false">T213-2*S213</f>
        <v>2.54489349359361</v>
      </c>
      <c r="W213" s="25" t="n">
        <f aca="false">-526*SIN(V213)+44*SIN(Q213+V213)-31*SIN(-Q213+V213)-23*SIN(R213+V213)+11*SIN(-R213+V213)-25*SIN(-2*Q213+T213)+21*SIN(-Q213+T213)</f>
        <v>-269.40587521803</v>
      </c>
      <c r="X213" s="26" t="n">
        <f aca="false">2*PI()*(O213+P213/1296000-INT(O213+P213/1296000))</f>
        <v>4.16934866820815</v>
      </c>
      <c r="Y213" s="26" t="n">
        <f aca="false">(18520*SIN(U213)+W213)/206264.8062</f>
        <v>-0.0247461245653784</v>
      </c>
      <c r="Z213" s="26" t="n">
        <f aca="false">Y213*180/PI()</f>
        <v>-1.41784849690119</v>
      </c>
      <c r="AA213" s="26" t="n">
        <f aca="false">COS(Y213)*COS(X213)</f>
        <v>-0.516583103036723</v>
      </c>
      <c r="AB213" s="26" t="n">
        <f aca="false">COS(Y213)*SIN(X213)</f>
        <v>-0.855879461118809</v>
      </c>
      <c r="AC213" s="26" t="n">
        <f aca="false">SIN(Y213)</f>
        <v>-0.0247435990091831</v>
      </c>
      <c r="AD213" s="26" t="n">
        <f aca="false">COS($A$4*(23.4393-46.815*M213/3600))*AB213-SIN($A$4*(23.4393-46.815*M213/3600))*AC213</f>
        <v>-0.775430365640702</v>
      </c>
      <c r="AE213" s="26" t="n">
        <f aca="false">SIN($A$4*(23.4393-46.815*M213/3600))*AB213+COS($A$4*(23.4393-46.815*M213/3600))*AC213</f>
        <v>-0.363111065239381</v>
      </c>
      <c r="AF213" s="26" t="n">
        <f aca="false">SQRT(1-AE213*AE213)</f>
        <v>0.931745863581225</v>
      </c>
      <c r="AG213" s="10" t="n">
        <f aca="false">ATAN(AE213/AF213)/$A$4</f>
        <v>-21.2913805769537</v>
      </c>
      <c r="AH213" s="26" t="n">
        <f aca="false">IF(24*ATAN(AD213/(AA213+AF213))/PI()&gt;0,24*ATAN(AD213/(AA213+AF213))/PI(),24*ATAN(AD213/(AA213+AF213))/PI()+24)</f>
        <v>15.7552591904183</v>
      </c>
      <c r="AI213" s="10" t="n">
        <f aca="false">IF(N213-15*AH213&gt;0,N213-15*AH213,360+N213-15*AH213)</f>
        <v>294.37934282032</v>
      </c>
      <c r="AJ213" s="18" t="n">
        <f aca="false">0.950724+0.051818*COS(Q213)+0.009531*COS(2*S213-Q213)+0.007843*COS(2*S213)+0.002824*COS(2*Q213)+0.000857*COS(2*S213+Q213)+0.000533*COS(2*S213-R213)+0.000401*COS(2*S213-R213-Q213)+0.00032*COS(Q213-R213)-0.000271*COS(S213)</f>
        <v>0.986569475170062</v>
      </c>
      <c r="AK213" s="50" t="n">
        <f aca="false">ASIN(COS($A$4*$G$2)*COS($A$4*AG213)*COS($A$4*AI213)+SIN($A$4*$G$2)*SIN($A$4*AG213))/$A$4</f>
        <v>29.7295877838866</v>
      </c>
      <c r="AL213" s="18" t="n">
        <f aca="false">ASIN((0.9983271+0.0016764*COS($A$4*2*$G$2))*COS($A$4*AK213)*SIN($A$4*AJ213))/$A$4</f>
        <v>0.856266832180859</v>
      </c>
      <c r="AM213" s="18" t="n">
        <f aca="false">AK213-AL213</f>
        <v>28.8733209517058</v>
      </c>
      <c r="AN213" s="10" t="n">
        <f aca="false"> IF(280.4664567 + 360007.6982779*M213/10 + 0.03032028*M213^2/100 + M213^3/49931000&lt;0,MOD(280.4664567 + 360007.6982779*M213/10 + 0.03032028*M213^2/100 + M213^3/49931000+360,360),MOD(280.4664567 + 360007.6982779*M213/10 + 0.03032028*M213^2/100 + M213^3/49931000,360))</f>
        <v>215.714013033969</v>
      </c>
      <c r="AO213" s="27" t="n">
        <f aca="false"> AN213 + (1.9146 - 0.004817*M213 - 0.000014*M213^2)*SIN(R213)+ (0.019993 - 0.000101*M213)*SIN(2*R213)+ 0.00029*SIN(3*R213)</f>
        <v>213.930695347994</v>
      </c>
      <c r="AP213" s="18" t="n">
        <f aca="false">ACOS(COS(X213-$A$4*AO213)*COS(Y213))/$A$4</f>
        <v>24.9930560959887</v>
      </c>
      <c r="AQ213" s="25" t="n">
        <f aca="false">180 - AP213 -0.1468*(1-0.0549*SIN(R213))*SIN($A$4*AP213)/(1-0.0167*SIN($A$4*AO213))</f>
        <v>154.942372939338</v>
      </c>
      <c r="AR213" s="25" t="n">
        <f aca="false">SIN($A$4*AI213)</f>
        <v>-0.910832540550778</v>
      </c>
      <c r="AS213" s="25" t="n">
        <f aca="false">COS($A$4*AI213)*SIN($A$4*$G$2) - TAN($A$4*AG213)*COS($A$4*$G$2)</f>
        <v>0.197445867317533</v>
      </c>
      <c r="AT213" s="25" t="n">
        <f aca="false">IF(OR(AND(AR213*AS213&gt;0), AND(AR213&lt;0,AS213&gt;0)), MOD(ATAN2(AS213,AR213)/$A$4+360,360),  ATAN2(AS213,AR213)/$A$4)</f>
        <v>282.231059877072</v>
      </c>
      <c r="AU213" s="29" t="n">
        <f aca="false">(1+SIN($A$4*H213)*SIN($A$4*AJ213))*120*ASIN(0.272481*SIN($A$4*AJ213))/$A$4</f>
        <v>32.5252872017414</v>
      </c>
      <c r="AV213" s="10" t="n">
        <f aca="false">COS(X213)</f>
        <v>-0.5167413135779</v>
      </c>
      <c r="AW213" s="10" t="n">
        <f aca="false">SIN(X213)</f>
        <v>-0.856141585744897</v>
      </c>
      <c r="AX213" s="30" t="n">
        <f aca="false"> 385000.56 + (-20905355*COS(Q213) - 3699111*COS(2*S213-Q213) - 2955968*COS(2*S213) - 569925*COS(2*Q213) + (1-0.002516*M213)*48888*COS(R213) - 3149*COS(2*T213)  +246158*COS(2*S213-2*Q213) -(1-0.002516*M213)*152138*COS(2*S213-R213-Q213) -170733*COS(2*S213+Q213) -(1-0.002516*M213)*204586*COS(2*S213-R213) -(1-0.002516*M213)*129620*COS(R213-Q213)  + 108743*COS(S213) +(1-0.002516*M213)*104755*COS(R213+Q213) +10321*COS(2*S213-2*T213) +79661*COS(Q213-2*T213) -34782*COS(4*S213-Q213) -23210*COS(3*Q213)  -21636*COS(4*S213-2*Q213) +(1-0.002516*M213)*24208*COS(2*S213+R213-Q213) +(1-0.002516*M213)*30824*COS(2*S213+R213) -8379*COS(S213-Q213) -(1-0.002516*M213)*16675*COS(S213+R213)  -(1-0.002516*M213)*12831*COS(2*S213-R213+Q213) -10445*COS(2*S213+2*Q213) -11650*COS(4*S213) +14403*COS(2*S213-3*Q213) -(1-0.002516*M213)*7003*COS(R213-2*Q213)  + (1-0.002516*M213)*10056*COS(2*S213-R213-2*Q213) +6322*COS(S213+Q213) -(1-0.002516*M213)*(1-0.002516*M213)*9884*COS(2*S213-2*R213) +(1-0.002516*M213)*5751*COS(R213+2*Q213) -(1-0.002516*M213)*(1-0.002516*M213)*4950*COS(2*S213-2*R213-Q213)  +4130*COS(2*S213+Q213-2*T213) -(1-0.002516*M213)*3958*COS(4*S213-R213-Q213) +3258*COS(3*S213-Q213) +(1-0.002516*M213)*2616*COS(2*S213+R213+Q213) -(1-0.002516*M213)*1897*COS(4*S213-R213-2*Q213)  -(1-0.002516*M213)*(1-0.002516*M213)*2117*COS(2*R213-Q213) +(1-0.002516*M213)*(1-0.002516*M213)*2354*COS(2*S213+2*R213-Q213) -1423*COS(4*S213+Q213) -1117*COS(4*Q213) -(1-0.002516*M213)*1571*COS(4*S213-R213)  -1739*COS(S213-2*Q213) -4421*COS(2*Q213-2*T213) +(1-0.002516*M213)*(1-0.002516*M213)*1165*COS(2*R213+Q213) +8752*COS(2*S213-Q213-2*T213))/1000</f>
        <v>370559.255417871</v>
      </c>
      <c r="AY213" s="10" t="n">
        <f aca="false">AY212+1/8</f>
        <v>27.375</v>
      </c>
      <c r="AZ213" s="17" t="n">
        <f aca="false">AZ212+1</f>
        <v>212</v>
      </c>
      <c r="BA213" s="32" t="n">
        <f aca="false">ATAN(0.99664719*TAN($A$4*input!$E$2))</f>
        <v>-0.400219206115995</v>
      </c>
      <c r="BB213" s="32" t="n">
        <f aca="false">COS(BA213)</f>
        <v>0.920975608992155</v>
      </c>
      <c r="BC213" s="32" t="n">
        <f aca="false">0.99664719*SIN(BA213)</f>
        <v>-0.388313912533463</v>
      </c>
      <c r="BD213" s="32" t="n">
        <f aca="false">6378.14/AX213</f>
        <v>0.0172121999565428</v>
      </c>
      <c r="BE213" s="33" t="n">
        <f aca="false">MOD(N213-15*AH213,360)</f>
        <v>294.37934282032</v>
      </c>
      <c r="BF213" s="27" t="n">
        <f aca="false">COS($A$4*AG213)*SIN($A$4*BE213)</f>
        <v>-0.848664452073365</v>
      </c>
      <c r="BG213" s="27" t="n">
        <f aca="false">COS($A$4*AG213)*COS($A$4*BE213)-BB213*BD213</f>
        <v>0.368750378465323</v>
      </c>
      <c r="BH213" s="27" t="n">
        <f aca="false">SIN($A$4*AG213)-BC213*BD213</f>
        <v>-0.356427328530947</v>
      </c>
      <c r="BI213" s="46" t="n">
        <f aca="false">SQRT(BF213^2+BG213^2+BH213^2)</f>
        <v>0.991588944248075</v>
      </c>
      <c r="BJ213" s="35" t="n">
        <f aca="false">AX213*BI213</f>
        <v>367442.46086116</v>
      </c>
    </row>
    <row r="214" customFormat="false" ht="15" hidden="false" customHeight="false" outlineLevel="0" collapsed="false">
      <c r="A214" s="20"/>
      <c r="B214" s="20"/>
      <c r="C214" s="15" t="n">
        <f aca="false">MOD(C213+3,24)</f>
        <v>12</v>
      </c>
      <c r="D214" s="17" t="n">
        <v>27</v>
      </c>
      <c r="E214" s="102" t="n">
        <f aca="false">input!$C$2</f>
        <v>10</v>
      </c>
      <c r="F214" s="102" t="n">
        <f aca="false">input!$D$2</f>
        <v>2022</v>
      </c>
      <c r="H214" s="39" t="n">
        <f aca="false">AM214</f>
        <v>69.0022965714996</v>
      </c>
      <c r="I214" s="48" t="n">
        <f aca="false">H214+1.02/(TAN($A$4*(H214+10.3/(H214+5.11)))*60)</f>
        <v>69.0087742118304</v>
      </c>
      <c r="J214" s="39" t="n">
        <f aca="false">100*(1+COS($A$4*AQ214))/2</f>
        <v>5.33758736081052</v>
      </c>
      <c r="K214" s="48" t="n">
        <f aca="false">IF(AI214&gt;180,AT214-180,AT214+180)</f>
        <v>91.0890740434184</v>
      </c>
      <c r="L214" s="10" t="n">
        <f aca="false">L213+1/8</f>
        <v>2459880</v>
      </c>
      <c r="M214" s="49" t="n">
        <f aca="false">(L214-2451545)/36525</f>
        <v>0.228199863107461</v>
      </c>
      <c r="N214" s="15" t="n">
        <f aca="false">MOD(280.46061837+360.98564736629*(L214-2451545)+0.000387933*M214^2-M214^3/38710000+$G$4,360)</f>
        <v>215.831436598673</v>
      </c>
      <c r="O214" s="18" t="n">
        <f aca="false">0.60643382+1336.85522467*M214 - 0.00000313*M214^2 - INT(0.60643382+1336.85522467*M214 - 0.00000313*M214^2)</f>
        <v>0.676612921192259</v>
      </c>
      <c r="P214" s="15" t="n">
        <f aca="false">22640*SIN(Q214)-4586*SIN(Q214-2*S214)+2370*SIN(2*S214)+769*SIN(2*Q214)-668*SIN(R214)-412*SIN(2*T214)-212*SIN(2*Q214-2*S214)-206*SIN(Q214+R214-2*S214)+192*SIN(Q214+2*S214)-165*SIN(R214-2*S214)-125*SIN(S214)-110*SIN(Q214+R214)+148*SIN(Q214-R214)-55*SIN(2*T214-2*S214)</f>
        <v>-10516.5822425488</v>
      </c>
      <c r="Q214" s="18" t="n">
        <f aca="false">2*PI()*(0.374897+1325.55241*M214 - INT(0.374897+1325.55241*M214))</f>
        <v>5.43982792456944</v>
      </c>
      <c r="R214" s="26" t="n">
        <f aca="false">2*PI()*(0.99312619+99.99735956*M214 - 0.00000044*M214^2 - INT(0.99312619+99.99735956*M214- 0.00000044*M214^2))</f>
        <v>5.10515045277172</v>
      </c>
      <c r="S214" s="26" t="n">
        <f aca="false">2*PI()*(0.827361+1236.853086*M214 - INT(0.827361+1236.853086*M214))</f>
        <v>0.484219388622933</v>
      </c>
      <c r="T214" s="26" t="n">
        <f aca="false">2*PI()*(0.259086+1342.227825*M214 - INT(0.259086+1342.227825*M214))</f>
        <v>3.48900205822739</v>
      </c>
      <c r="U214" s="26" t="n">
        <f aca="false">T214+(P214+412*SIN(2*T214)+541*SIN(R214))/206264.8062</f>
        <v>3.43687194990303</v>
      </c>
      <c r="V214" s="26" t="n">
        <f aca="false">T214-2*S214</f>
        <v>2.52056328098153</v>
      </c>
      <c r="W214" s="25" t="n">
        <f aca="false">-526*SIN(V214)+44*SIN(Q214+V214)-31*SIN(-Q214+V214)-23*SIN(R214+V214)+11*SIN(-R214+V214)-25*SIN(-2*Q214+T214)+21*SIN(-Q214+T214)</f>
        <v>-280.83431204354</v>
      </c>
      <c r="X214" s="26" t="n">
        <f aca="false">2*PI()*(O214+P214/1296000-INT(O214+P214/1296000))</f>
        <v>4.20029853558605</v>
      </c>
      <c r="Y214" s="26" t="n">
        <f aca="false">(18520*SIN(U214)+W214)/206264.8062</f>
        <v>-0.0274903186568583</v>
      </c>
      <c r="Z214" s="26" t="n">
        <f aca="false">Y214*180/PI()</f>
        <v>-1.57507923650773</v>
      </c>
      <c r="AA214" s="26" t="n">
        <f aca="false">COS(Y214)*COS(X214)</f>
        <v>-0.489815463728792</v>
      </c>
      <c r="AB214" s="26" t="n">
        <f aca="false">COS(Y214)*SIN(X214)</f>
        <v>-0.871392726744273</v>
      </c>
      <c r="AC214" s="26" t="n">
        <f aca="false">SIN(Y214)</f>
        <v>-0.027486856301325</v>
      </c>
      <c r="AD214" s="26" t="n">
        <f aca="false">COS($A$4*(23.4393-46.815*M214/3600))*AB214-SIN($A$4*(23.4393-46.815*M214/3600))*AC214</f>
        <v>-0.788572752376259</v>
      </c>
      <c r="AE214" s="26" t="n">
        <f aca="false">SIN($A$4*(23.4393-46.815*M214/3600))*AB214+COS($A$4*(23.4393-46.815*M214/3600))*AC214</f>
        <v>-0.371798098034243</v>
      </c>
      <c r="AF214" s="26" t="n">
        <f aca="false">SQRT(1-AE214*AE214)</f>
        <v>0.928313618502992</v>
      </c>
      <c r="AG214" s="10" t="n">
        <f aca="false">ATAN(AE214/AF214)/$A$4</f>
        <v>-21.8265534590034</v>
      </c>
      <c r="AH214" s="26" t="n">
        <f aca="false">IF(24*ATAN(AD214/(AA214+AF214))/PI()&gt;0,24*ATAN(AD214/(AA214+AF214))/PI(),24*ATAN(AD214/(AA214+AF214))/PI()+24)</f>
        <v>15.8769238545779</v>
      </c>
      <c r="AI214" s="10" t="n">
        <f aca="false">IF(N214-15*AH214&gt;0,N214-15*AH214,360+N214-15*AH214)</f>
        <v>337.677578780004</v>
      </c>
      <c r="AJ214" s="18" t="n">
        <f aca="false">0.950724+0.051818*COS(Q214)+0.009531*COS(2*S214-Q214)+0.007843*COS(2*S214)+0.002824*COS(2*Q214)+0.000857*COS(2*S214+Q214)+0.000533*COS(2*S214-R214)+0.000401*COS(2*S214-R214-Q214)+0.00032*COS(Q214-R214)-0.000271*COS(S214)</f>
        <v>0.98724931228396</v>
      </c>
      <c r="AK214" s="50" t="n">
        <f aca="false">ASIN(COS($A$4*$G$2)*COS($A$4*AG214)*COS($A$4*AI214)+SIN($A$4*$G$2)*SIN($A$4*AG214))/$A$4</f>
        <v>69.3502620159365</v>
      </c>
      <c r="AL214" s="18" t="n">
        <f aca="false">ASIN((0.9983271+0.0016764*COS($A$4*2*$G$2))*COS($A$4*AK214)*SIN($A$4*AJ214))/$A$4</f>
        <v>0.347965444436919</v>
      </c>
      <c r="AM214" s="18" t="n">
        <f aca="false">AK214-AL214</f>
        <v>69.0022965714996</v>
      </c>
      <c r="AN214" s="10" t="n">
        <f aca="false"> IF(280.4664567 + 360007.6982779*M214/10 + 0.03032028*M214^2/100 + M214^3/49931000&lt;0,MOD(280.4664567 + 360007.6982779*M214/10 + 0.03032028*M214^2/100 + M214^3/49931000+360,360),MOD(280.4664567 + 360007.6982779*M214/10 + 0.03032028*M214^2/100 + M214^3/49931000,360))</f>
        <v>215.837218954455</v>
      </c>
      <c r="AO214" s="27" t="n">
        <f aca="false"> AN214 + (1.9146 - 0.004817*M214 - 0.000014*M214^2)*SIN(R214)+ (0.019993 - 0.000101*M214)*SIN(2*R214)+ 0.00029*SIN(3*R214)</f>
        <v>214.055409406967</v>
      </c>
      <c r="AP214" s="18" t="n">
        <f aca="false">ACOS(COS(X214-$A$4*AO214)*COS(Y214))/$A$4</f>
        <v>26.6471601580532</v>
      </c>
      <c r="AQ214" s="25" t="n">
        <f aca="false">180 - AP214 -0.1468*(1-0.0549*SIN(R214))*SIN($A$4*AP214)/(1-0.0167*SIN($A$4*AO214))</f>
        <v>153.28430240873</v>
      </c>
      <c r="AR214" s="25" t="n">
        <f aca="false">SIN($A$4*AI214)</f>
        <v>-0.379818187336593</v>
      </c>
      <c r="AS214" s="25" t="n">
        <f aca="false">COS($A$4*AI214)*SIN($A$4*$G$2) - TAN($A$4*AG214)*COS($A$4*$G$2)</f>
        <v>0.00722042630729541</v>
      </c>
      <c r="AT214" s="25" t="n">
        <f aca="false">IF(OR(AND(AR214*AS214&gt;0), AND(AR214&lt;0,AS214&gt;0)), MOD(ATAN2(AS214,AR214)/$A$4+360,360),  ATAN2(AS214,AR214)/$A$4)</f>
        <v>271.089074043418</v>
      </c>
      <c r="AU214" s="29" t="n">
        <f aca="false">(1+SIN($A$4*H214)*SIN($A$4*AJ214))*120*ASIN(0.272481*SIN($A$4*AJ214))/$A$4</f>
        <v>32.7985597366268</v>
      </c>
      <c r="AV214" s="10" t="n">
        <f aca="false">COS(X214)</f>
        <v>-0.490000603113683</v>
      </c>
      <c r="AW214" s="10" t="n">
        <f aca="false">SIN(X214)</f>
        <v>-0.87172209387409</v>
      </c>
      <c r="AX214" s="30" t="n">
        <f aca="false"> 385000.56 + (-20905355*COS(Q214) - 3699111*COS(2*S214-Q214) - 2955968*COS(2*S214) - 569925*COS(2*Q214) + (1-0.002516*M214)*48888*COS(R214) - 3149*COS(2*T214)  +246158*COS(2*S214-2*Q214) -(1-0.002516*M214)*152138*COS(2*S214-R214-Q214) -170733*COS(2*S214+Q214) -(1-0.002516*M214)*204586*COS(2*S214-R214) -(1-0.002516*M214)*129620*COS(R214-Q214)  + 108743*COS(S214) +(1-0.002516*M214)*104755*COS(R214+Q214) +10321*COS(2*S214-2*T214) +79661*COS(Q214-2*T214) -34782*COS(4*S214-Q214) -23210*COS(3*Q214)  -21636*COS(4*S214-2*Q214) +(1-0.002516*M214)*24208*COS(2*S214+R214-Q214) +(1-0.002516*M214)*30824*COS(2*S214+R214) -8379*COS(S214-Q214) -(1-0.002516*M214)*16675*COS(S214+R214)  -(1-0.002516*M214)*12831*COS(2*S214-R214+Q214) -10445*COS(2*S214+2*Q214) -11650*COS(4*S214) +14403*COS(2*S214-3*Q214) -(1-0.002516*M214)*7003*COS(R214-2*Q214)  + (1-0.002516*M214)*10056*COS(2*S214-R214-2*Q214) +6322*COS(S214+Q214) -(1-0.002516*M214)*(1-0.002516*M214)*9884*COS(2*S214-2*R214) +(1-0.002516*M214)*5751*COS(R214+2*Q214) -(1-0.002516*M214)*(1-0.002516*M214)*4950*COS(2*S214-2*R214-Q214)  +4130*COS(2*S214+Q214-2*T214) -(1-0.002516*M214)*3958*COS(4*S214-R214-Q214) +3258*COS(3*S214-Q214) +(1-0.002516*M214)*2616*COS(2*S214+R214+Q214) -(1-0.002516*M214)*1897*COS(4*S214-R214-2*Q214)  -(1-0.002516*M214)*(1-0.002516*M214)*2117*COS(2*R214-Q214) +(1-0.002516*M214)*(1-0.002516*M214)*2354*COS(2*S214+2*R214-Q214) -1423*COS(4*S214+Q214) -1117*COS(4*Q214) -(1-0.002516*M214)*1571*COS(4*S214-R214)  -1739*COS(S214-2*Q214) -4421*COS(2*Q214-2*T214) +(1-0.002516*M214)*(1-0.002516*M214)*1165*COS(2*R214+Q214) +8752*COS(2*S214-Q214-2*T214))/1000</f>
        <v>370304.694858967</v>
      </c>
      <c r="AY214" s="10" t="n">
        <f aca="false">AY213+1/8</f>
        <v>27.5</v>
      </c>
      <c r="AZ214" s="17" t="n">
        <f aca="false">AZ213+1</f>
        <v>213</v>
      </c>
      <c r="BA214" s="32" t="n">
        <f aca="false">ATAN(0.99664719*TAN($A$4*input!$E$2))</f>
        <v>-0.400219206115995</v>
      </c>
      <c r="BB214" s="32" t="n">
        <f aca="false">COS(BA214)</f>
        <v>0.920975608992155</v>
      </c>
      <c r="BC214" s="32" t="n">
        <f aca="false">0.99664719*SIN(BA214)</f>
        <v>-0.388313912533463</v>
      </c>
      <c r="BD214" s="32" t="n">
        <f aca="false">6378.14/AX214</f>
        <v>0.0172240322322382</v>
      </c>
      <c r="BE214" s="33" t="n">
        <f aca="false">MOD(N214-15*AH214,360)</f>
        <v>337.677578780004</v>
      </c>
      <c r="BF214" s="27" t="n">
        <f aca="false">COS($A$4*AG214)*SIN($A$4*BE214)</f>
        <v>-0.35259039585968</v>
      </c>
      <c r="BG214" s="27" t="n">
        <f aca="false">COS($A$4*AG214)*COS($A$4*BE214)-BB214*BD214</f>
        <v>0.842883956606597</v>
      </c>
      <c r="BH214" s="27" t="n">
        <f aca="false">SIN($A$4*AG214)-BC214*BD214</f>
        <v>-0.36510976668854</v>
      </c>
      <c r="BI214" s="46" t="n">
        <f aca="false">SQRT(BF214^2+BG214^2+BH214^2)</f>
        <v>0.983909799366099</v>
      </c>
      <c r="BJ214" s="35" t="n">
        <f aca="false">AX214*BI214</f>
        <v>364346.418023011</v>
      </c>
    </row>
    <row r="215" customFormat="false" ht="15" hidden="false" customHeight="false" outlineLevel="0" collapsed="false">
      <c r="A215" s="20"/>
      <c r="B215" s="20"/>
      <c r="C215" s="15" t="n">
        <f aca="false">MOD(C214+3,24)</f>
        <v>15</v>
      </c>
      <c r="D215" s="17" t="n">
        <v>27</v>
      </c>
      <c r="E215" s="102" t="n">
        <f aca="false">input!$C$2</f>
        <v>10</v>
      </c>
      <c r="F215" s="102" t="n">
        <f aca="false">input!$D$2</f>
        <v>2022</v>
      </c>
      <c r="H215" s="39" t="n">
        <f aca="false">AM215</f>
        <v>70.3375279165117</v>
      </c>
      <c r="I215" s="48" t="n">
        <f aca="false">H215+1.02/(TAN($A$4*(H215+10.3/(H215+5.11)))*60)</f>
        <v>70.343556599798</v>
      </c>
      <c r="J215" s="39" t="n">
        <f aca="false">100*(1+COS($A$4*AQ215))/2</f>
        <v>6.00756947061201</v>
      </c>
      <c r="K215" s="48" t="n">
        <f aca="false">IF(AI215&gt;180,AT215-180,AT215+180)</f>
        <v>267.848183835061</v>
      </c>
      <c r="L215" s="10" t="n">
        <f aca="false">L214+1/8</f>
        <v>2459880.125</v>
      </c>
      <c r="M215" s="49" t="n">
        <f aca="false">(L215-2451545)/36525</f>
        <v>0.228203285420945</v>
      </c>
      <c r="N215" s="15" t="n">
        <f aca="false">MOD(280.46061837+360.98564736629*(L215-2451545)+0.000387933*M215^2-M215^3/38710000+$G$4,360)</f>
        <v>260.954642519821</v>
      </c>
      <c r="O215" s="18" t="n">
        <f aca="false">0.60643382+1336.85522467*M215 - 0.00000313*M215^2 - INT(0.60643382+1336.85522467*M215 - 0.00000313*M215^2)</f>
        <v>0.681188058848818</v>
      </c>
      <c r="P215" s="15" t="n">
        <f aca="false">22640*SIN(Q215)-4586*SIN(Q215-2*S215)+2370*SIN(2*S215)+769*SIN(2*Q215)-668*SIN(R215)-412*SIN(2*T215)-212*SIN(2*Q215-2*S215)-206*SIN(Q215+R215-2*S215)+192*SIN(Q215+2*S215)-165*SIN(R215-2*S215)-125*SIN(S215)-110*SIN(Q215+R215)+148*SIN(Q215-R215)-55*SIN(2*T215-2*S215)</f>
        <v>-10053.8599157718</v>
      </c>
      <c r="Q215" s="18" t="n">
        <f aca="false">2*PI()*(0.374897+1325.55241*M215 - INT(0.374897+1325.55241*M215))</f>
        <v>5.46833131754124</v>
      </c>
      <c r="R215" s="26" t="n">
        <f aca="false">2*PI()*(0.99312619+99.99735956*M215 - 0.00000044*M215^2 - INT(0.99312619+99.99735956*M215- 0.00000044*M215^2))</f>
        <v>5.1073006989698</v>
      </c>
      <c r="S215" s="26" t="n">
        <f aca="false">2*PI()*(0.827361+1236.853086*M215 - INT(0.827361+1236.853086*M215))</f>
        <v>0.510815477387856</v>
      </c>
      <c r="T215" s="26" t="n">
        <f aca="false">2*PI()*(0.259086+1342.227825*M215 - INT(0.259086+1342.227825*M215))</f>
        <v>3.5178640231448</v>
      </c>
      <c r="U215" s="26" t="n">
        <f aca="false">T215+(P215+412*SIN(2*T215)+541*SIN(R215))/206264.8062</f>
        <v>3.46806581064799</v>
      </c>
      <c r="V215" s="26" t="n">
        <f aca="false">T215-2*S215</f>
        <v>2.49623306836908</v>
      </c>
      <c r="W215" s="25" t="n">
        <f aca="false">-526*SIN(V215)+44*SIN(Q215+V215)-31*SIN(-Q215+V215)-23*SIN(R215+V215)+11*SIN(-R215+V215)-25*SIN(-2*Q215+T215)+21*SIN(-Q215+T215)</f>
        <v>-292.104031354103</v>
      </c>
      <c r="X215" s="26" t="n">
        <f aca="false">2*PI()*(O215+P215/1296000-INT(O215+P215/1296000))</f>
        <v>4.23128831443383</v>
      </c>
      <c r="Y215" s="26" t="n">
        <f aca="false">(18520*SIN(U215)+W215)/206264.8062</f>
        <v>-0.0302114115559328</v>
      </c>
      <c r="Z215" s="26" t="n">
        <f aca="false">Y215*180/PI()</f>
        <v>-1.73098637528771</v>
      </c>
      <c r="AA215" s="26" t="n">
        <f aca="false">COS(Y215)*COS(X215)</f>
        <v>-0.462544011675617</v>
      </c>
      <c r="AB215" s="26" t="n">
        <f aca="false">COS(Y215)*SIN(X215)</f>
        <v>-0.886081590787596</v>
      </c>
      <c r="AC215" s="26" t="n">
        <f aca="false">SIN(Y215)</f>
        <v>-0.030206815958467</v>
      </c>
      <c r="AD215" s="26" t="n">
        <f aca="false">COS($A$4*(23.4393-46.815*M215/3600))*AB215-SIN($A$4*(23.4393-46.815*M215/3600))*AC215</f>
        <v>-0.800968014692021</v>
      </c>
      <c r="AE215" s="26" t="n">
        <f aca="false">SIN($A$4*(23.4393-46.815*M215/3600))*AB215+COS($A$4*(23.4393-46.815*M215/3600))*AC215</f>
        <v>-0.380135866110195</v>
      </c>
      <c r="AF215" s="26" t="n">
        <f aca="false">SQRT(1-AE215*AE215)</f>
        <v>0.924930658642394</v>
      </c>
      <c r="AG215" s="10" t="n">
        <f aca="false">ATAN(AE215/AF215)/$A$4</f>
        <v>-22.3420987695214</v>
      </c>
      <c r="AH215" s="26" t="n">
        <f aca="false">IF(24*ATAN(AD215/(AA215+AF215))/PI()&gt;0,24*ATAN(AD215/(AA215+AF215))/PI(),24*ATAN(AD215/(AA215+AF215))/PI()+24)</f>
        <v>15.9996247841036</v>
      </c>
      <c r="AI215" s="10" t="n">
        <f aca="false">IF(N215-15*AH215&gt;0,N215-15*AH215,360+N215-15*AH215)</f>
        <v>20.9602707582668</v>
      </c>
      <c r="AJ215" s="18" t="n">
        <f aca="false">0.950724+0.051818*COS(Q215)+0.009531*COS(2*S215-Q215)+0.007843*COS(2*S215)+0.002824*COS(2*Q215)+0.000857*COS(2*S215+Q215)+0.000533*COS(2*S215-R215)+0.000401*COS(2*S215-R215-Q215)+0.00032*COS(Q215-R215)-0.000271*COS(S215)</f>
        <v>0.987886279513961</v>
      </c>
      <c r="AK215" s="50" t="n">
        <f aca="false">ASIN(COS($A$4*$G$2)*COS($A$4*AG215)*COS($A$4*AI215)+SIN($A$4*$G$2)*SIN($A$4*AG215))/$A$4</f>
        <v>70.6644365002665</v>
      </c>
      <c r="AL215" s="18" t="n">
        <f aca="false">ASIN((0.9983271+0.0016764*COS($A$4*2*$G$2))*COS($A$4*AK215)*SIN($A$4*AJ215))/$A$4</f>
        <v>0.32690858375476</v>
      </c>
      <c r="AM215" s="18" t="n">
        <f aca="false">AK215-AL215</f>
        <v>70.3375279165117</v>
      </c>
      <c r="AN215" s="10" t="n">
        <f aca="false"> IF(280.4664567 + 360007.6982779*M215/10 + 0.03032028*M215^2/100 + M215^3/49931000&lt;0,MOD(280.4664567 + 360007.6982779*M215/10 + 0.03032028*M215^2/100 + M215^3/49931000+360,360),MOD(280.4664567 + 360007.6982779*M215/10 + 0.03032028*M215^2/100 + M215^3/49931000,360))</f>
        <v>215.960424874944</v>
      </c>
      <c r="AO215" s="27" t="n">
        <f aca="false"> AN215 + (1.9146 - 0.004817*M215 - 0.000014*M215^2)*SIN(R215)+ (0.019993 - 0.000101*M215)*SIN(2*R215)+ 0.00029*SIN(3*R215)</f>
        <v>214.180131896001</v>
      </c>
      <c r="AP215" s="18" t="n">
        <f aca="false">ACOS(COS(X215-$A$4*AO215)*COS(Y215))/$A$4</f>
        <v>28.3034418881036</v>
      </c>
      <c r="AQ215" s="25" t="n">
        <f aca="false">180 - AP215 -0.1468*(1-0.0549*SIN(R215))*SIN($A$4*AP215)/(1-0.0167*SIN($A$4*AO215))</f>
        <v>151.6241068018</v>
      </c>
      <c r="AR215" s="25" t="n">
        <f aca="false">SIN($A$4*AI215)</f>
        <v>0.357720513101747</v>
      </c>
      <c r="AS215" s="25" t="n">
        <f aca="false">COS($A$4*AI215)*SIN($A$4*$G$2) - TAN($A$4*AG215)*COS($A$4*$G$2)</f>
        <v>0.0134409706438896</v>
      </c>
      <c r="AT215" s="25" t="n">
        <f aca="false">IF(OR(AND(AR215*AS215&gt;0), AND(AR215&lt;0,AS215&gt;0)), MOD(ATAN2(AS215,AR215)/$A$4+360,360),  ATAN2(AS215,AR215)/$A$4)</f>
        <v>87.8481838350614</v>
      </c>
      <c r="AU215" s="29" t="n">
        <f aca="false">(1+SIN($A$4*H215)*SIN($A$4*AJ215))*120*ASIN(0.272481*SIN($A$4*AJ215))/$A$4</f>
        <v>32.8245631696409</v>
      </c>
      <c r="AV215" s="10" t="n">
        <f aca="false">COS(X215)</f>
        <v>-0.462755180739702</v>
      </c>
      <c r="AW215" s="10" t="n">
        <f aca="false">SIN(X215)</f>
        <v>-0.886486120984737</v>
      </c>
      <c r="AX215" s="30" t="n">
        <f aca="false"> 385000.56 + (-20905355*COS(Q215) - 3699111*COS(2*S215-Q215) - 2955968*COS(2*S215) - 569925*COS(2*Q215) + (1-0.002516*M215)*48888*COS(R215) - 3149*COS(2*T215)  +246158*COS(2*S215-2*Q215) -(1-0.002516*M215)*152138*COS(2*S215-R215-Q215) -170733*COS(2*S215+Q215) -(1-0.002516*M215)*204586*COS(2*S215-R215) -(1-0.002516*M215)*129620*COS(R215-Q215)  + 108743*COS(S215) +(1-0.002516*M215)*104755*COS(R215+Q215) +10321*COS(2*S215-2*T215) +79661*COS(Q215-2*T215) -34782*COS(4*S215-Q215) -23210*COS(3*Q215)  -21636*COS(4*S215-2*Q215) +(1-0.002516*M215)*24208*COS(2*S215+R215-Q215) +(1-0.002516*M215)*30824*COS(2*S215+R215) -8379*COS(S215-Q215) -(1-0.002516*M215)*16675*COS(S215+R215)  -(1-0.002516*M215)*12831*COS(2*S215-R215+Q215) -10445*COS(2*S215+2*Q215) -11650*COS(4*S215) +14403*COS(2*S215-3*Q215) -(1-0.002516*M215)*7003*COS(R215-2*Q215)  + (1-0.002516*M215)*10056*COS(2*S215-R215-2*Q215) +6322*COS(S215+Q215) -(1-0.002516*M215)*(1-0.002516*M215)*9884*COS(2*S215-2*R215) +(1-0.002516*M215)*5751*COS(R215+2*Q215) -(1-0.002516*M215)*(1-0.002516*M215)*4950*COS(2*S215-2*R215-Q215)  +4130*COS(2*S215+Q215-2*T215) -(1-0.002516*M215)*3958*COS(4*S215-R215-Q215) +3258*COS(3*S215-Q215) +(1-0.002516*M215)*2616*COS(2*S215+R215+Q215) -(1-0.002516*M215)*1897*COS(4*S215-R215-2*Q215)  -(1-0.002516*M215)*(1-0.002516*M215)*2117*COS(2*R215-Q215) +(1-0.002516*M215)*(1-0.002516*M215)*2354*COS(2*S215+2*R215-Q215) -1423*COS(4*S215+Q215) -1117*COS(4*Q215) -(1-0.002516*M215)*1571*COS(4*S215-R215)  -1739*COS(S215-2*Q215) -4421*COS(2*Q215-2*T215) +(1-0.002516*M215)*(1-0.002516*M215)*1165*COS(2*R215+Q215) +8752*COS(2*S215-Q215-2*T215))/1000</f>
        <v>370065.800662291</v>
      </c>
      <c r="AY215" s="10" t="n">
        <f aca="false">AY214+1/8</f>
        <v>27.625</v>
      </c>
      <c r="AZ215" s="17" t="n">
        <f aca="false">AZ214+1</f>
        <v>214</v>
      </c>
      <c r="BA215" s="32" t="n">
        <f aca="false">ATAN(0.99664719*TAN($A$4*input!$E$2))</f>
        <v>-0.400219206115995</v>
      </c>
      <c r="BB215" s="32" t="n">
        <f aca="false">COS(BA215)</f>
        <v>0.920975608992155</v>
      </c>
      <c r="BC215" s="32" t="n">
        <f aca="false">0.99664719*SIN(BA215)</f>
        <v>-0.388313912533463</v>
      </c>
      <c r="BD215" s="32" t="n">
        <f aca="false">6378.14/AX215</f>
        <v>0.0172351511233551</v>
      </c>
      <c r="BE215" s="33" t="n">
        <f aca="false">MOD(N215-15*AH215,360)</f>
        <v>20.9602707582668</v>
      </c>
      <c r="BF215" s="27" t="n">
        <f aca="false">COS($A$4*AG215)*SIN($A$4*BE215)</f>
        <v>0.330866669793094</v>
      </c>
      <c r="BG215" s="27" t="n">
        <f aca="false">COS($A$4*AG215)*COS($A$4*BE215)-BB215*BD215</f>
        <v>0.847853637560203</v>
      </c>
      <c r="BH215" s="27" t="n">
        <f aca="false">SIN($A$4*AG215)-BC215*BD215</f>
        <v>-0.373443217144379</v>
      </c>
      <c r="BI215" s="46" t="n">
        <f aca="false">SQRT(BF215^2+BG215^2+BH215^2)</f>
        <v>0.98376235968611</v>
      </c>
      <c r="BJ215" s="35" t="n">
        <f aca="false">AX215*BI215</f>
        <v>364056.805298665</v>
      </c>
    </row>
    <row r="216" customFormat="false" ht="15" hidden="false" customHeight="false" outlineLevel="0" collapsed="false">
      <c r="A216" s="20"/>
      <c r="B216" s="20"/>
      <c r="C216" s="15" t="n">
        <f aca="false">MOD(C215+3,24)</f>
        <v>18</v>
      </c>
      <c r="D216" s="17" t="n">
        <v>27</v>
      </c>
      <c r="E216" s="102" t="n">
        <f aca="false">input!$C$2</f>
        <v>10</v>
      </c>
      <c r="F216" s="102" t="n">
        <f aca="false">input!$D$2</f>
        <v>2022</v>
      </c>
      <c r="H216" s="39" t="n">
        <f aca="false">AM216</f>
        <v>30.5226835224088</v>
      </c>
      <c r="I216" s="48" t="n">
        <f aca="false">H216+1.02/(TAN($A$4*(H216+10.3/(H216+5.11)))*60)</f>
        <v>30.5511880021565</v>
      </c>
      <c r="J216" s="39" t="n">
        <f aca="false">100*(1+COS($A$4*AQ216))/2</f>
        <v>6.71532294110387</v>
      </c>
      <c r="K216" s="48" t="n">
        <f aca="false">IF(AI216&gt;180,AT216-180,AT216+180)</f>
        <v>256.40607224053</v>
      </c>
      <c r="L216" s="10" t="n">
        <f aca="false">L215+1/8</f>
        <v>2459880.25</v>
      </c>
      <c r="M216" s="49" t="n">
        <f aca="false">(L216-2451545)/36525</f>
        <v>0.228206707734428</v>
      </c>
      <c r="N216" s="15" t="n">
        <f aca="false">MOD(280.46061837+360.98564736629*(L216-2451545)+0.000387933*M216^2-M216^3/38710000+$G$4,360)</f>
        <v>306.077848440968</v>
      </c>
      <c r="O216" s="18" t="n">
        <f aca="false">0.60643382+1336.85522467*M216 - 0.00000313*M216^2 - INT(0.60643382+1336.85522467*M216 - 0.00000313*M216^2)</f>
        <v>0.68576319650532</v>
      </c>
      <c r="P216" s="15" t="n">
        <f aca="false">22640*SIN(Q216)-4586*SIN(Q216-2*S216)+2370*SIN(2*S216)+769*SIN(2*Q216)-668*SIN(R216)-412*SIN(2*T216)-212*SIN(2*Q216-2*S216)-206*SIN(Q216+R216-2*S216)+192*SIN(Q216+2*S216)-165*SIN(R216-2*S216)-125*SIN(S216)-110*SIN(Q216+R216)+148*SIN(Q216-R216)-55*SIN(2*T216-2*S216)</f>
        <v>-9583.45468669515</v>
      </c>
      <c r="Q216" s="18" t="n">
        <f aca="false">2*PI()*(0.374897+1325.55241*M216 - INT(0.374897+1325.55241*M216))</f>
        <v>5.49683471051304</v>
      </c>
      <c r="R216" s="26" t="n">
        <f aca="false">2*PI()*(0.99312619+99.99735956*M216 - 0.00000044*M216^2 - INT(0.99312619+99.99735956*M216- 0.00000044*M216^2))</f>
        <v>5.10945094516789</v>
      </c>
      <c r="S216" s="26" t="n">
        <f aca="false">2*PI()*(0.827361+1236.853086*M216 - INT(0.827361+1236.853086*M216))</f>
        <v>0.537411566152421</v>
      </c>
      <c r="T216" s="26" t="n">
        <f aca="false">2*PI()*(0.259086+1342.227825*M216 - INT(0.259086+1342.227825*M216))</f>
        <v>3.54672598806256</v>
      </c>
      <c r="U216" s="26" t="n">
        <f aca="false">T216+(P216+412*SIN(2*T216)+541*SIN(R216))/206264.8062</f>
        <v>3.49929238256336</v>
      </c>
      <c r="V216" s="26" t="n">
        <f aca="false">T216-2*S216</f>
        <v>2.47190285575771</v>
      </c>
      <c r="W216" s="25" t="n">
        <f aca="false">-526*SIN(V216)+44*SIN(Q216+V216)-31*SIN(-Q216+V216)-23*SIN(R216+V216)+11*SIN(-R216+V216)-25*SIN(-2*Q216+T216)+21*SIN(-Q216+T216)</f>
        <v>-303.204919632252</v>
      </c>
      <c r="X216" s="26" t="n">
        <f aca="false">2*PI()*(O216+P216/1296000-INT(O216+P216/1296000))</f>
        <v>4.2623153410427</v>
      </c>
      <c r="Y216" s="26" t="n">
        <f aca="false">(18520*SIN(U216)+W216)/206264.8062</f>
        <v>-0.0329064199607637</v>
      </c>
      <c r="Z216" s="26" t="n">
        <f aca="false">Y216*180/PI()</f>
        <v>-1.88539898263681</v>
      </c>
      <c r="AA216" s="26" t="n">
        <f aca="false">COS(Y216)*COS(X216)</f>
        <v>-0.434796329214141</v>
      </c>
      <c r="AB216" s="26" t="n">
        <f aca="false">COS(Y216)*SIN(X216)</f>
        <v>-0.899927613985095</v>
      </c>
      <c r="AC216" s="26" t="n">
        <f aca="false">SIN(Y216)</f>
        <v>-0.0329004815922595</v>
      </c>
      <c r="AD216" s="26" t="n">
        <f aca="false">COS($A$4*(23.4393-46.815*M216/3600))*AB216-SIN($A$4*(23.4393-46.815*M216/3600))*AC216</f>
        <v>-0.812600426267636</v>
      </c>
      <c r="AE216" s="26" t="n">
        <f aca="false">SIN($A$4*(23.4393-46.815*M216/3600))*AB216+COS($A$4*(23.4393-46.815*M216/3600))*AC216</f>
        <v>-0.388114286430641</v>
      </c>
      <c r="AF216" s="26" t="n">
        <f aca="false">SQRT(1-AE216*AE216)</f>
        <v>0.921611252464093</v>
      </c>
      <c r="AG216" s="10" t="n">
        <f aca="false">ATAN(AE216/AF216)/$A$4</f>
        <v>-22.8372155758533</v>
      </c>
      <c r="AH216" s="26" t="n">
        <f aca="false">IF(24*ATAN(AD216/(AA216+AF216))/PI()&gt;0,24*ATAN(AD216/(AA216+AF216))/PI(),24*ATAN(AD216/(AA216+AF216))/PI()+24)</f>
        <v>16.1233465531801</v>
      </c>
      <c r="AI216" s="10" t="n">
        <f aca="false">IF(N216-15*AH216&gt;0,N216-15*AH216,360+N216-15*AH216)</f>
        <v>64.2276501432656</v>
      </c>
      <c r="AJ216" s="18" t="n">
        <f aca="false">0.950724+0.051818*COS(Q216)+0.009531*COS(2*S216-Q216)+0.007843*COS(2*S216)+0.002824*COS(2*Q216)+0.000857*COS(2*S216+Q216)+0.000533*COS(2*S216-R216)+0.000401*COS(2*S216-R216-Q216)+0.00032*COS(Q216-R216)-0.000271*COS(S216)</f>
        <v>0.988480235544381</v>
      </c>
      <c r="AK216" s="50" t="n">
        <f aca="false">ASIN(COS($A$4*$G$2)*COS($A$4*AG216)*COS($A$4*AI216)+SIN($A$4*$G$2)*SIN($A$4*AG216))/$A$4</f>
        <v>31.3662642570401</v>
      </c>
      <c r="AL216" s="18" t="n">
        <f aca="false">ASIN((0.9983271+0.0016764*COS($A$4*2*$G$2))*COS($A$4*AK216)*SIN($A$4*AJ216))/$A$4</f>
        <v>0.843580734631266</v>
      </c>
      <c r="AM216" s="18" t="n">
        <f aca="false">AK216-AL216</f>
        <v>30.5226835224088</v>
      </c>
      <c r="AN216" s="10" t="n">
        <f aca="false"> IF(280.4664567 + 360007.6982779*M216/10 + 0.03032028*M216^2/100 + M216^3/49931000&lt;0,MOD(280.4664567 + 360007.6982779*M216/10 + 0.03032028*M216^2/100 + M216^3/49931000+360,360),MOD(280.4664567 + 360007.6982779*M216/10 + 0.03032028*M216^2/100 + M216^3/49931000,360))</f>
        <v>216.083630795429</v>
      </c>
      <c r="AO216" s="27" t="n">
        <f aca="false"> AN216 + (1.9146 - 0.004817*M216 - 0.000014*M216^2)*SIN(R216)+ (0.019993 - 0.000101*M216)*SIN(2*R216)+ 0.00029*SIN(3*R216)</f>
        <v>214.304862808984</v>
      </c>
      <c r="AP216" s="18" t="n">
        <f aca="false">ACOS(COS(X216-$A$4*AO216)*COS(Y216))/$A$4</f>
        <v>29.9616981935699</v>
      </c>
      <c r="AQ216" s="25" t="n">
        <f aca="false">180 - AP216 -0.1468*(1-0.0549*SIN(R216))*SIN($A$4*AP216)/(1-0.0167*SIN($A$4*AO216))</f>
        <v>149.961993177639</v>
      </c>
      <c r="AR216" s="25" t="n">
        <f aca="false">SIN($A$4*AI216)</f>
        <v>0.900528703008881</v>
      </c>
      <c r="AS216" s="25" t="n">
        <f aca="false">COS($A$4*AI216)*SIN($A$4*$G$2) - TAN($A$4*AG216)*COS($A$4*$G$2)</f>
        <v>0.217759799790312</v>
      </c>
      <c r="AT216" s="25" t="n">
        <f aca="false">IF(OR(AND(AR216*AS216&gt;0), AND(AR216&lt;0,AS216&gt;0)), MOD(ATAN2(AS216,AR216)/$A$4+360,360),  ATAN2(AS216,AR216)/$A$4)</f>
        <v>76.4060722405296</v>
      </c>
      <c r="AU216" s="29" t="n">
        <f aca="false">(1+SIN($A$4*H216)*SIN($A$4*AJ216))*120*ASIN(0.272481*SIN($A$4*AJ216))/$A$4</f>
        <v>32.6027374547752</v>
      </c>
      <c r="AV216" s="10" t="n">
        <f aca="false">COS(X216)</f>
        <v>-0.435031841263926</v>
      </c>
      <c r="AW216" s="10" t="n">
        <f aca="false">SIN(X216)</f>
        <v>-0.900415069335536</v>
      </c>
      <c r="AX216" s="30" t="n">
        <f aca="false"> 385000.56 + (-20905355*COS(Q216) - 3699111*COS(2*S216-Q216) - 2955968*COS(2*S216) - 569925*COS(2*Q216) + (1-0.002516*M216)*48888*COS(R216) - 3149*COS(2*T216)  +246158*COS(2*S216-2*Q216) -(1-0.002516*M216)*152138*COS(2*S216-R216-Q216) -170733*COS(2*S216+Q216) -(1-0.002516*M216)*204586*COS(2*S216-R216) -(1-0.002516*M216)*129620*COS(R216-Q216)  + 108743*COS(S216) +(1-0.002516*M216)*104755*COS(R216+Q216) +10321*COS(2*S216-2*T216) +79661*COS(Q216-2*T216) -34782*COS(4*S216-Q216) -23210*COS(3*Q216)  -21636*COS(4*S216-2*Q216) +(1-0.002516*M216)*24208*COS(2*S216+R216-Q216) +(1-0.002516*M216)*30824*COS(2*S216+R216) -8379*COS(S216-Q216) -(1-0.002516*M216)*16675*COS(S216+R216)  -(1-0.002516*M216)*12831*COS(2*S216-R216+Q216) -10445*COS(2*S216+2*Q216) -11650*COS(4*S216) +14403*COS(2*S216-3*Q216) -(1-0.002516*M216)*7003*COS(R216-2*Q216)  + (1-0.002516*M216)*10056*COS(2*S216-R216-2*Q216) +6322*COS(S216+Q216) -(1-0.002516*M216)*(1-0.002516*M216)*9884*COS(2*S216-2*R216) +(1-0.002516*M216)*5751*COS(R216+2*Q216) -(1-0.002516*M216)*(1-0.002516*M216)*4950*COS(2*S216-2*R216-Q216)  +4130*COS(2*S216+Q216-2*T216) -(1-0.002516*M216)*3958*COS(4*S216-R216-Q216) +3258*COS(3*S216-Q216) +(1-0.002516*M216)*2616*COS(2*S216+R216+Q216) -(1-0.002516*M216)*1897*COS(4*S216-R216-2*Q216)  -(1-0.002516*M216)*(1-0.002516*M216)*2117*COS(2*R216-Q216) +(1-0.002516*M216)*(1-0.002516*M216)*2354*COS(2*S216+2*R216-Q216) -1423*COS(4*S216+Q216) -1117*COS(4*Q216) -(1-0.002516*M216)*1571*COS(4*S216-R216)  -1739*COS(S216-2*Q216) -4421*COS(2*Q216-2*T216) +(1-0.002516*M216)*(1-0.002516*M216)*1165*COS(2*R216+Q216) +8752*COS(2*S216-Q216-2*T216))/1000</f>
        <v>369842.55996153</v>
      </c>
      <c r="AY216" s="10" t="n">
        <f aca="false">AY215+1/8</f>
        <v>27.75</v>
      </c>
      <c r="AZ216" s="17" t="n">
        <f aca="false">AZ215+1</f>
        <v>215</v>
      </c>
      <c r="BA216" s="32" t="n">
        <f aca="false">ATAN(0.99664719*TAN($A$4*input!$E$2))</f>
        <v>-0.400219206115995</v>
      </c>
      <c r="BB216" s="32" t="n">
        <f aca="false">COS(BA216)</f>
        <v>0.920975608992155</v>
      </c>
      <c r="BC216" s="32" t="n">
        <f aca="false">0.99664719*SIN(BA216)</f>
        <v>-0.388313912533463</v>
      </c>
      <c r="BD216" s="32" t="n">
        <f aca="false">6378.14/AX216</f>
        <v>0.0172455544344692</v>
      </c>
      <c r="BE216" s="33" t="n">
        <f aca="false">MOD(N216-15*AH216,360)</f>
        <v>64.2276501432656</v>
      </c>
      <c r="BF216" s="27" t="n">
        <f aca="false">COS($A$4*AG216)*SIN($A$4*BE216)</f>
        <v>0.829937385859881</v>
      </c>
      <c r="BG216" s="27" t="n">
        <f aca="false">COS($A$4*AG216)*COS($A$4*BE216)-BB216*BD216</f>
        <v>0.384830674087282</v>
      </c>
      <c r="BH216" s="27" t="n">
        <f aca="false">SIN($A$4*AG216)-BC216*BD216</f>
        <v>-0.381417597714383</v>
      </c>
      <c r="BI216" s="46" t="n">
        <f aca="false">SQRT(BF216^2+BG216^2+BH216^2)</f>
        <v>0.991145850020377</v>
      </c>
      <c r="BJ216" s="35" t="n">
        <f aca="false">AX216*BI216</f>
        <v>366567.918466783</v>
      </c>
    </row>
    <row r="217" customFormat="false" ht="15" hidden="false" customHeight="false" outlineLevel="0" collapsed="false">
      <c r="A217" s="20"/>
      <c r="B217" s="20"/>
      <c r="C217" s="15" t="n">
        <f aca="false">MOD(C216+3,24)</f>
        <v>21</v>
      </c>
      <c r="D217" s="17" t="n">
        <v>27</v>
      </c>
      <c r="E217" s="102" t="n">
        <f aca="false">input!$C$2</f>
        <v>10</v>
      </c>
      <c r="F217" s="102" t="n">
        <f aca="false">input!$D$2</f>
        <v>2022</v>
      </c>
      <c r="H217" s="39" t="n">
        <f aca="false">AM217</f>
        <v>-6.68267423540988</v>
      </c>
      <c r="I217" s="48" t="n">
        <f aca="false">H217+1.02/(TAN($A$4*(H217+10.3/(H217+5.11)))*60)</f>
        <v>-6.75497229532255</v>
      </c>
      <c r="J217" s="39" t="n">
        <f aca="false">100*(1+COS($A$4*AQ217))/2</f>
        <v>7.46028709483356</v>
      </c>
      <c r="K217" s="48" t="n">
        <f aca="false">IF(AI217&gt;180,AT217-180,AT217+180)</f>
        <v>241.680034194293</v>
      </c>
      <c r="L217" s="10" t="n">
        <f aca="false">L216+1/8</f>
        <v>2459880.375</v>
      </c>
      <c r="M217" s="49" t="n">
        <f aca="false">(L217-2451545)/36525</f>
        <v>0.228210130047912</v>
      </c>
      <c r="N217" s="15" t="n">
        <f aca="false">MOD(280.46061837+360.98564736629*(L217-2451545)+0.000387933*M217^2-M217^3/38710000+$G$4,360)</f>
        <v>351.20105436258</v>
      </c>
      <c r="O217" s="18" t="n">
        <f aca="false">0.60643382+1336.85522467*M217 - 0.00000313*M217^2 - INT(0.60643382+1336.85522467*M217 - 0.00000313*M217^2)</f>
        <v>0.690338334161879</v>
      </c>
      <c r="P217" s="15" t="n">
        <f aca="false">22640*SIN(Q217)-4586*SIN(Q217-2*S217)+2370*SIN(2*S217)+769*SIN(2*Q217)-668*SIN(R217)-412*SIN(2*T217)-212*SIN(2*Q217-2*S217)-206*SIN(Q217+R217-2*S217)+192*SIN(Q217+2*S217)-165*SIN(R217-2*S217)-125*SIN(S217)-110*SIN(Q217+R217)+148*SIN(Q217-R217)-55*SIN(2*T217-2*S217)</f>
        <v>-9105.91751392242</v>
      </c>
      <c r="Q217" s="18" t="n">
        <f aca="false">2*PI()*(0.374897+1325.55241*M217 - INT(0.374897+1325.55241*M217))</f>
        <v>5.5253381034852</v>
      </c>
      <c r="R217" s="26" t="n">
        <f aca="false">2*PI()*(0.99312619+99.99735956*M217 - 0.00000044*M217^2 - INT(0.99312619+99.99735956*M217- 0.00000044*M217^2))</f>
        <v>5.11160119136599</v>
      </c>
      <c r="S217" s="26" t="n">
        <f aca="false">2*PI()*(0.827361+1236.853086*M217 - INT(0.827361+1236.853086*M217))</f>
        <v>0.564007654917344</v>
      </c>
      <c r="T217" s="26" t="n">
        <f aca="false">2*PI()*(0.259086+1342.227825*M217 - INT(0.259086+1342.227825*M217))</f>
        <v>3.57558795297996</v>
      </c>
      <c r="U217" s="26" t="n">
        <f aca="false">T217+(P217+412*SIN(2*T217)+541*SIN(R217))/206264.8062</f>
        <v>3.53054872188715</v>
      </c>
      <c r="V217" s="26" t="n">
        <f aca="false">T217-2*S217</f>
        <v>2.44757264314527</v>
      </c>
      <c r="W217" s="25" t="n">
        <f aca="false">-526*SIN(V217)+44*SIN(Q217+V217)-31*SIN(-Q217+V217)-23*SIN(R217+V217)+11*SIN(-R217+V217)-25*SIN(-2*Q217+T217)+21*SIN(-Q217+T217)</f>
        <v>-314.126927382503</v>
      </c>
      <c r="X217" s="26" t="n">
        <f aca="false">2*PI()*(O217+P217/1296000-INT(O217+P217/1296000))</f>
        <v>4.29337694429071</v>
      </c>
      <c r="Y217" s="26" t="n">
        <f aca="false">(18520*SIN(U217)+W217)/206264.8062</f>
        <v>-0.0355723831002687</v>
      </c>
      <c r="Z217" s="26" t="n">
        <f aca="false">Y217*180/PI()</f>
        <v>-2.03814741886789</v>
      </c>
      <c r="AA217" s="26" t="n">
        <f aca="false">COS(Y217)*COS(X217)</f>
        <v>-0.406600764408206</v>
      </c>
      <c r="AB217" s="26" t="n">
        <f aca="false">COS(Y217)*SIN(X217)</f>
        <v>-0.912913444743923</v>
      </c>
      <c r="AC217" s="26" t="n">
        <f aca="false">SIN(Y217)</f>
        <v>-0.0355648813922867</v>
      </c>
      <c r="AD217" s="26" t="n">
        <f aca="false">COS($A$4*(23.4393-46.815*M217/3600))*AB217-SIN($A$4*(23.4393-46.815*M217/3600))*AC217</f>
        <v>-0.823455248948164</v>
      </c>
      <c r="AE217" s="26" t="n">
        <f aca="false">SIN($A$4*(23.4393-46.815*M217/3600))*AB217+COS($A$4*(23.4393-46.815*M217/3600))*AC217</f>
        <v>-0.395723731108433</v>
      </c>
      <c r="AF217" s="26" t="n">
        <f aca="false">SQRT(1-AE217*AE217)</f>
        <v>0.918369603502653</v>
      </c>
      <c r="AG217" s="10" t="n">
        <f aca="false">ATAN(AE217/AF217)/$A$4</f>
        <v>-23.3111189618299</v>
      </c>
      <c r="AH217" s="26" t="n">
        <f aca="false">IF(24*ATAN(AD217/(AA217+AF217))/PI()&gt;0,24*ATAN(AD217/(AA217+AF217))/PI(),24*ATAN(AD217/(AA217+AF217))/PI()+24)</f>
        <v>16.2480692862968</v>
      </c>
      <c r="AI217" s="10" t="n">
        <f aca="false">IF(N217-15*AH217&gt;0,N217-15*AH217,360+N217-15*AH217)</f>
        <v>107.480015068128</v>
      </c>
      <c r="AJ217" s="18" t="n">
        <f aca="false">0.950724+0.051818*COS(Q217)+0.009531*COS(2*S217-Q217)+0.007843*COS(2*S217)+0.002824*COS(2*Q217)+0.000857*COS(2*S217+Q217)+0.000533*COS(2*S217-R217)+0.000401*COS(2*S217-R217-Q217)+0.00032*COS(Q217-R217)-0.000271*COS(S217)</f>
        <v>0.989031127714758</v>
      </c>
      <c r="AK217" s="50" t="n">
        <f aca="false">ASIN(COS($A$4*$G$2)*COS($A$4*AG217)*COS($A$4*AI217)+SIN($A$4*$G$2)*SIN($A$4*AG217))/$A$4</f>
        <v>-5.69903248844883</v>
      </c>
      <c r="AL217" s="18" t="n">
        <f aca="false">ASIN((0.9983271+0.0016764*COS($A$4*2*$G$2))*COS($A$4*AK217)*SIN($A$4*AJ217))/$A$4</f>
        <v>0.983641746961043</v>
      </c>
      <c r="AM217" s="18" t="n">
        <f aca="false">AK217-AL217</f>
        <v>-6.68267423540988</v>
      </c>
      <c r="AN217" s="10" t="n">
        <f aca="false"> IF(280.4664567 + 360007.6982779*M217/10 + 0.03032028*M217^2/100 + M217^3/49931000&lt;0,MOD(280.4664567 + 360007.6982779*M217/10 + 0.03032028*M217^2/100 + M217^3/49931000+360,360),MOD(280.4664567 + 360007.6982779*M217/10 + 0.03032028*M217^2/100 + M217^3/49931000,360))</f>
        <v>216.206836715914</v>
      </c>
      <c r="AO217" s="27" t="n">
        <f aca="false"> AN217 + (1.9146 - 0.004817*M217 - 0.000014*M217^2)*SIN(R217)+ (0.019993 - 0.000101*M217)*SIN(2*R217)+ 0.00029*SIN(3*R217)</f>
        <v>214.42960213977</v>
      </c>
      <c r="AP217" s="18" t="n">
        <f aca="false">ACOS(COS(X217-$A$4*AO217)*COS(Y217))/$A$4</f>
        <v>31.6217318731572</v>
      </c>
      <c r="AQ217" s="25" t="n">
        <f aca="false">180 - AP217 -0.1468*(1-0.0549*SIN(R217))*SIN($A$4*AP217)/(1-0.0167*SIN($A$4*AO217))</f>
        <v>148.298162632581</v>
      </c>
      <c r="AR217" s="25" t="n">
        <f aca="false">SIN($A$4*AI217)</f>
        <v>0.953821779773335</v>
      </c>
      <c r="AS217" s="25" t="n">
        <f aca="false">COS($A$4*AI217)*SIN($A$4*$G$2) - TAN($A$4*AG217)*COS($A$4*$G$2)</f>
        <v>0.514008935220461</v>
      </c>
      <c r="AT217" s="25" t="n">
        <f aca="false">IF(OR(AND(AR217*AS217&gt;0), AND(AR217&lt;0,AS217&gt;0)), MOD(ATAN2(AS217,AR217)/$A$4+360,360),  ATAN2(AS217,AR217)/$A$4)</f>
        <v>61.6800341942932</v>
      </c>
      <c r="AU217" s="29" t="n">
        <f aca="false">(1+SIN($A$4*H217)*SIN($A$4*AJ217))*120*ASIN(0.272481*SIN($A$4*AJ217))/$A$4</f>
        <v>32.2726206373008</v>
      </c>
      <c r="AV217" s="10" t="n">
        <f aca="false">COS(X217)</f>
        <v>-0.406858155288409</v>
      </c>
      <c r="AW217" s="10" t="n">
        <f aca="false">SIN(X217)</f>
        <v>-0.913491347236148</v>
      </c>
      <c r="AX217" s="30" t="n">
        <f aca="false"> 385000.56 + (-20905355*COS(Q217) - 3699111*COS(2*S217-Q217) - 2955968*COS(2*S217) - 569925*COS(2*Q217) + (1-0.002516*M217)*48888*COS(R217) - 3149*COS(2*T217)  +246158*COS(2*S217-2*Q217) -(1-0.002516*M217)*152138*COS(2*S217-R217-Q217) -170733*COS(2*S217+Q217) -(1-0.002516*M217)*204586*COS(2*S217-R217) -(1-0.002516*M217)*129620*COS(R217-Q217)  + 108743*COS(S217) +(1-0.002516*M217)*104755*COS(R217+Q217) +10321*COS(2*S217-2*T217) +79661*COS(Q217-2*T217) -34782*COS(4*S217-Q217) -23210*COS(3*Q217)  -21636*COS(4*S217-2*Q217) +(1-0.002516*M217)*24208*COS(2*S217+R217-Q217) +(1-0.002516*M217)*30824*COS(2*S217+R217) -8379*COS(S217-Q217) -(1-0.002516*M217)*16675*COS(S217+R217)  -(1-0.002516*M217)*12831*COS(2*S217-R217+Q217) -10445*COS(2*S217+2*Q217) -11650*COS(4*S217) +14403*COS(2*S217-3*Q217) -(1-0.002516*M217)*7003*COS(R217-2*Q217)  + (1-0.002516*M217)*10056*COS(2*S217-R217-2*Q217) +6322*COS(S217+Q217) -(1-0.002516*M217)*(1-0.002516*M217)*9884*COS(2*S217-2*R217) +(1-0.002516*M217)*5751*COS(R217+2*Q217) -(1-0.002516*M217)*(1-0.002516*M217)*4950*COS(2*S217-2*R217-Q217)  +4130*COS(2*S217+Q217-2*T217) -(1-0.002516*M217)*3958*COS(4*S217-R217-Q217) +3258*COS(3*S217-Q217) +(1-0.002516*M217)*2616*COS(2*S217+R217+Q217) -(1-0.002516*M217)*1897*COS(4*S217-R217-2*Q217)  -(1-0.002516*M217)*(1-0.002516*M217)*2117*COS(2*R217-Q217) +(1-0.002516*M217)*(1-0.002516*M217)*2354*COS(2*S217+2*R217-Q217) -1423*COS(4*S217+Q217) -1117*COS(4*Q217) -(1-0.002516*M217)*1571*COS(4*S217-R217)  -1739*COS(S217-2*Q217) -4421*COS(2*Q217-2*T217) +(1-0.002516*M217)*(1-0.002516*M217)*1165*COS(2*R217+Q217) +8752*COS(2*S217-Q217-2*T217))/1000</f>
        <v>369634.934364217</v>
      </c>
      <c r="AY217" s="10" t="n">
        <f aca="false">AY216+1/8</f>
        <v>27.875</v>
      </c>
      <c r="AZ217" s="17" t="n">
        <f aca="false">AZ216+1</f>
        <v>216</v>
      </c>
      <c r="BA217" s="32" t="n">
        <f aca="false">ATAN(0.99664719*TAN($A$4*input!$E$2))</f>
        <v>-0.400219206115995</v>
      </c>
      <c r="BB217" s="32" t="n">
        <f aca="false">COS(BA217)</f>
        <v>0.920975608992155</v>
      </c>
      <c r="BC217" s="32" t="n">
        <f aca="false">0.99664719*SIN(BA217)</f>
        <v>-0.388313912533463</v>
      </c>
      <c r="BD217" s="32" t="n">
        <f aca="false">6378.14/AX217</f>
        <v>0.0172552413395952</v>
      </c>
      <c r="BE217" s="33" t="n">
        <f aca="false">MOD(N217-15*AH217,360)</f>
        <v>107.480015068128</v>
      </c>
      <c r="BF217" s="27" t="n">
        <f aca="false">COS($A$4*AG217)*SIN($A$4*BE217)</f>
        <v>0.875960929702632</v>
      </c>
      <c r="BG217" s="27" t="n">
        <f aca="false">COS($A$4*AG217)*COS($A$4*BE217)-BB217*BD217</f>
        <v>-0.291745201370324</v>
      </c>
      <c r="BH217" s="27" t="n">
        <f aca="false">SIN($A$4*AG217)-BC217*BD217</f>
        <v>-0.389023280832146</v>
      </c>
      <c r="BI217" s="46" t="n">
        <f aca="false">SQRT(BF217^2+BG217^2+BH217^2)</f>
        <v>1.00187919726757</v>
      </c>
      <c r="BJ217" s="35" t="n">
        <f aca="false">AX217*BI217</f>
        <v>370329.551322874</v>
      </c>
    </row>
    <row r="218" customFormat="false" ht="15" hidden="false" customHeight="false" outlineLevel="0" collapsed="false">
      <c r="A218" s="20"/>
      <c r="B218" s="20"/>
      <c r="C218" s="15" t="n">
        <f aca="false">MOD(C217+3,24)</f>
        <v>0</v>
      </c>
      <c r="D218" s="36" t="n">
        <v>28</v>
      </c>
      <c r="E218" s="102" t="n">
        <f aca="false">input!$C$2</f>
        <v>10</v>
      </c>
      <c r="F218" s="102" t="n">
        <f aca="false">input!$D$2</f>
        <v>2022</v>
      </c>
      <c r="H218" s="39" t="n">
        <f aca="false">AM218</f>
        <v>-36.0731288568051</v>
      </c>
      <c r="I218" s="48" t="n">
        <f aca="false">H218+1.02/(TAN($A$4*(H218+10.3/(H218+5.11)))*60)</f>
        <v>-36.0961822243419</v>
      </c>
      <c r="J218" s="39" t="n">
        <f aca="false">100*(1+COS($A$4*AQ218))/2</f>
        <v>8.24185170923115</v>
      </c>
      <c r="K218" s="48" t="n">
        <f aca="false">IF(AI218&gt;180,AT218-180,AT218+180)</f>
        <v>213.247705799957</v>
      </c>
      <c r="L218" s="10" t="n">
        <f aca="false">L217+1/8</f>
        <v>2459880.5</v>
      </c>
      <c r="M218" s="49" t="n">
        <f aca="false">(L218-2451545)/36525</f>
        <v>0.228213552361396</v>
      </c>
      <c r="N218" s="15" t="n">
        <f aca="false">MOD(280.46061837+360.98564736629*(L218-2451545)+0.000387933*M218^2-M218^3/38710000+$G$4,360)</f>
        <v>36.3242602841929</v>
      </c>
      <c r="O218" s="18" t="n">
        <f aca="false">0.60643382+1336.85522467*M218 - 0.00000313*M218^2 - INT(0.60643382+1336.85522467*M218 - 0.00000313*M218^2)</f>
        <v>0.694913471818438</v>
      </c>
      <c r="P218" s="15" t="n">
        <f aca="false">22640*SIN(Q218)-4586*SIN(Q218-2*S218)+2370*SIN(2*S218)+769*SIN(2*Q218)-668*SIN(R218)-412*SIN(2*T218)-212*SIN(2*Q218-2*S218)-206*SIN(Q218+R218-2*S218)+192*SIN(Q218+2*S218)-165*SIN(R218-2*S218)-125*SIN(S218)-110*SIN(Q218+R218)+148*SIN(Q218-R218)-55*SIN(2*T218-2*S218)</f>
        <v>-8621.79965629522</v>
      </c>
      <c r="Q218" s="18" t="n">
        <f aca="false">2*PI()*(0.374897+1325.55241*M218 - INT(0.374897+1325.55241*M218))</f>
        <v>5.55384149645735</v>
      </c>
      <c r="R218" s="26" t="n">
        <f aca="false">2*PI()*(0.99312619+99.99735956*M218 - 0.00000044*M218^2 - INT(0.99312619+99.99735956*M218- 0.00000044*M218^2))</f>
        <v>5.11375143756409</v>
      </c>
      <c r="S218" s="26" t="n">
        <f aca="false">2*PI()*(0.827361+1236.853086*M218 - INT(0.827361+1236.853086*M218))</f>
        <v>0.590603743682266</v>
      </c>
      <c r="T218" s="26" t="n">
        <f aca="false">2*PI()*(0.259086+1342.227825*M218 - INT(0.259086+1342.227825*M218))</f>
        <v>3.60444991789772</v>
      </c>
      <c r="U218" s="26" t="n">
        <f aca="false">T218+(P218+412*SIN(2*T218)+541*SIN(R218))/206264.8062</f>
        <v>3.56183189946058</v>
      </c>
      <c r="V218" s="26" t="n">
        <f aca="false">T218-2*S218</f>
        <v>2.42324243053318</v>
      </c>
      <c r="W218" s="25" t="n">
        <f aca="false">-526*SIN(V218)+44*SIN(Q218+V218)-31*SIN(-Q218+V218)-23*SIN(R218+V218)+11*SIN(-R218+V218)-25*SIN(-2*Q218+T218)+21*SIN(-Q218+T218)</f>
        <v>-324.860084964699</v>
      </c>
      <c r="X218" s="26" t="n">
        <f aca="false">2*PI()*(O218+P218/1296000-INT(O218+P218/1296000))</f>
        <v>4.32447045159919</v>
      </c>
      <c r="Y218" s="26" t="n">
        <f aca="false">(18520*SIN(U218)+W218)/206264.8062</f>
        <v>-0.0382063685499163</v>
      </c>
      <c r="Z218" s="26" t="n">
        <f aca="false">Y218*180/PI()</f>
        <v>-2.18906366843157</v>
      </c>
      <c r="AA218" s="26" t="n">
        <f aca="false">COS(Y218)*COS(X218)</f>
        <v>-0.377986375065165</v>
      </c>
      <c r="AB218" s="26" t="n">
        <f aca="false">COS(Y218)*SIN(X218)</f>
        <v>-0.925022855823761</v>
      </c>
      <c r="AC218" s="26" t="n">
        <f aca="false">SIN(Y218)</f>
        <v>-0.0381970740862483</v>
      </c>
      <c r="AD218" s="26" t="n">
        <f aca="false">COS($A$4*(23.4393-46.815*M218/3600))*AB218-SIN($A$4*(23.4393-46.815*M218/3600))*AC218</f>
        <v>-0.833518764029092</v>
      </c>
      <c r="AE218" s="26" t="n">
        <f aca="false">SIN($A$4*(23.4393-46.815*M218/3600))*AB218+COS($A$4*(23.4393-46.815*M218/3600))*AC218</f>
        <v>-0.402955047463748</v>
      </c>
      <c r="AF218" s="26" t="n">
        <f aca="false">SQRT(1-AE218*AE218)</f>
        <v>0.915219771269988</v>
      </c>
      <c r="AG218" s="10" t="n">
        <f aca="false">ATAN(AE218/AF218)/$A$4</f>
        <v>-23.7630432204776</v>
      </c>
      <c r="AH218" s="26" t="n">
        <f aca="false">IF(24*ATAN(AD218/(AA218+AF218))/PI()&gt;0,24*ATAN(AD218/(AA218+AF218))/PI(),24*ATAN(AD218/(AA218+AF218))/PI()+24)</f>
        <v>16.3737685430704</v>
      </c>
      <c r="AI218" s="10" t="n">
        <f aca="false">IF(N218-15*AH218&gt;0,N218-15*AH218,360+N218-15*AH218)</f>
        <v>150.717732138137</v>
      </c>
      <c r="AJ218" s="18" t="n">
        <f aca="false">0.950724+0.051818*COS(Q218)+0.009531*COS(2*S218-Q218)+0.007843*COS(2*S218)+0.002824*COS(2*Q218)+0.000857*COS(2*S218+Q218)+0.000533*COS(2*S218-R218)+0.000401*COS(2*S218-R218-Q218)+0.00032*COS(Q218-R218)-0.000271*COS(S218)</f>
        <v>0.989538990531394</v>
      </c>
      <c r="AK218" s="50" t="n">
        <f aca="false">ASIN(COS($A$4*$G$2)*COS($A$4*AG218)*COS($A$4*AI218)+SIN($A$4*$G$2)*SIN($A$4*AG218))/$A$4</f>
        <v>-35.2656099707324</v>
      </c>
      <c r="AL218" s="18" t="n">
        <f aca="false">ASIN((0.9983271+0.0016764*COS($A$4*2*$G$2))*COS($A$4*AK218)*SIN($A$4*AJ218))/$A$4</f>
        <v>0.807518886072673</v>
      </c>
      <c r="AM218" s="18" t="n">
        <f aca="false">AK218-AL218</f>
        <v>-36.0731288568051</v>
      </c>
      <c r="AN218" s="10" t="n">
        <f aca="false"> IF(280.4664567 + 360007.6982779*M218/10 + 0.03032028*M218^2/100 + M218^3/49931000&lt;0,MOD(280.4664567 + 360007.6982779*M218/10 + 0.03032028*M218^2/100 + M218^3/49931000+360,360),MOD(280.4664567 + 360007.6982779*M218/10 + 0.03032028*M218^2/100 + M218^3/49931000,360))</f>
        <v>216.330042636402</v>
      </c>
      <c r="AO218" s="27" t="n">
        <f aca="false"> AN218 + (1.9146 - 0.004817*M218 - 0.000014*M218^2)*SIN(R218)+ (0.019993 - 0.000101*M218)*SIN(2*R218)+ 0.00029*SIN(3*R218)</f>
        <v>214.554349882169</v>
      </c>
      <c r="AP218" s="18" t="n">
        <f aca="false">ACOS(COS(X218-$A$4*AO218)*COS(Y218))/$A$4</f>
        <v>33.2833507910878</v>
      </c>
      <c r="AQ218" s="25" t="n">
        <f aca="false">180 - AP218 -0.1468*(1-0.0549*SIN(R218))*SIN($A$4*AP218)/(1-0.0167*SIN($A$4*AO218))</f>
        <v>146.632811121767</v>
      </c>
      <c r="AR218" s="25" t="n">
        <f aca="false">SIN($A$4*AI218)</f>
        <v>0.489112536660707</v>
      </c>
      <c r="AS218" s="25" t="n">
        <f aca="false">COS($A$4*AI218)*SIN($A$4*$G$2) - TAN($A$4*AG218)*COS($A$4*$G$2)</f>
        <v>0.746085748741196</v>
      </c>
      <c r="AT218" s="25" t="n">
        <f aca="false">IF(OR(AND(AR218*AS218&gt;0), AND(AR218&lt;0,AS218&gt;0)), MOD(ATAN2(AS218,AR218)/$A$4+360,360),  ATAN2(AS218,AR218)/$A$4)</f>
        <v>33.2477057999568</v>
      </c>
      <c r="AU218" s="29" t="n">
        <f aca="false">(1+SIN($A$4*H218)*SIN($A$4*AJ218))*120*ASIN(0.272481*SIN($A$4*AJ218))/$A$4</f>
        <v>32.0251769100554</v>
      </c>
      <c r="AV218" s="10" t="n">
        <f aca="false">COS(X218)</f>
        <v>-0.378262421342059</v>
      </c>
      <c r="AW218" s="10" t="n">
        <f aca="false">SIN(X218)</f>
        <v>-0.925698406934161</v>
      </c>
      <c r="AX218" s="30" t="n">
        <f aca="false"> 385000.56 + (-20905355*COS(Q218) - 3699111*COS(2*S218-Q218) - 2955968*COS(2*S218) - 569925*COS(2*Q218) + (1-0.002516*M218)*48888*COS(R218) - 3149*COS(2*T218)  +246158*COS(2*S218-2*Q218) -(1-0.002516*M218)*152138*COS(2*S218-R218-Q218) -170733*COS(2*S218+Q218) -(1-0.002516*M218)*204586*COS(2*S218-R218) -(1-0.002516*M218)*129620*COS(R218-Q218)  + 108743*COS(S218) +(1-0.002516*M218)*104755*COS(R218+Q218) +10321*COS(2*S218-2*T218) +79661*COS(Q218-2*T218) -34782*COS(4*S218-Q218) -23210*COS(3*Q218)  -21636*COS(4*S218-2*Q218) +(1-0.002516*M218)*24208*COS(2*S218+R218-Q218) +(1-0.002516*M218)*30824*COS(2*S218+R218) -8379*COS(S218-Q218) -(1-0.002516*M218)*16675*COS(S218+R218)  -(1-0.002516*M218)*12831*COS(2*S218-R218+Q218) -10445*COS(2*S218+2*Q218) -11650*COS(4*S218) +14403*COS(2*S218-3*Q218) -(1-0.002516*M218)*7003*COS(R218-2*Q218)  + (1-0.002516*M218)*10056*COS(2*S218-R218-2*Q218) +6322*COS(S218+Q218) -(1-0.002516*M218)*(1-0.002516*M218)*9884*COS(2*S218-2*R218) +(1-0.002516*M218)*5751*COS(R218+2*Q218) -(1-0.002516*M218)*(1-0.002516*M218)*4950*COS(2*S218-2*R218-Q218)  +4130*COS(2*S218+Q218-2*T218) -(1-0.002516*M218)*3958*COS(4*S218-R218-Q218) +3258*COS(3*S218-Q218) +(1-0.002516*M218)*2616*COS(2*S218+R218+Q218) -(1-0.002516*M218)*1897*COS(4*S218-R218-2*Q218)  -(1-0.002516*M218)*(1-0.002516*M218)*2117*COS(2*R218-Q218) +(1-0.002516*M218)*(1-0.002516*M218)*2354*COS(2*S218+2*R218-Q218) -1423*COS(4*S218+Q218) -1117*COS(4*Q218) -(1-0.002516*M218)*1571*COS(4*S218-R218)  -1739*COS(S218-2*Q218) -4421*COS(2*Q218-2*T218) +(1-0.002516*M218)*(1-0.002516*M218)*1165*COS(2*R218+Q218) +8752*COS(2*S218-Q218-2*T218))/1000</f>
        <v>369442.860759073</v>
      </c>
      <c r="AY218" s="10" t="n">
        <f aca="false">AY217+1/8</f>
        <v>28</v>
      </c>
      <c r="AZ218" s="17" t="n">
        <f aca="false">AZ217+1</f>
        <v>217</v>
      </c>
      <c r="BA218" s="32" t="n">
        <f aca="false">ATAN(0.99664719*TAN($A$4*input!$E$2))</f>
        <v>-0.400219206115995</v>
      </c>
      <c r="BB218" s="32" t="n">
        <f aca="false">COS(BA218)</f>
        <v>0.920975608992155</v>
      </c>
      <c r="BC218" s="32" t="n">
        <f aca="false">0.99664719*SIN(BA218)</f>
        <v>-0.388313912533463</v>
      </c>
      <c r="BD218" s="32" t="n">
        <f aca="false">6378.14/AX218</f>
        <v>0.017264212351797</v>
      </c>
      <c r="BE218" s="33" t="n">
        <f aca="false">MOD(N218-15*AH218,360)</f>
        <v>150.717732138137</v>
      </c>
      <c r="BF218" s="27" t="n">
        <f aca="false">COS($A$4*AG218)*SIN($A$4*BE218)</f>
        <v>0.447645463927896</v>
      </c>
      <c r="BG218" s="27" t="n">
        <f aca="false">COS($A$4*AG218)*COS($A$4*BE218)-BB218*BD218</f>
        <v>-0.814173535954233</v>
      </c>
      <c r="BH218" s="27" t="n">
        <f aca="false">SIN($A$4*AG218)-BC218*BD218</f>
        <v>-0.396251113618613</v>
      </c>
      <c r="BI218" s="46" t="n">
        <f aca="false">SQRT(BF218^2+BG218^2+BH218^2)</f>
        <v>1.01008908174845</v>
      </c>
      <c r="BJ218" s="35" t="n">
        <f aca="false">AX218*BI218</f>
        <v>373170.199982653</v>
      </c>
    </row>
    <row r="219" customFormat="false" ht="15" hidden="false" customHeight="false" outlineLevel="0" collapsed="false">
      <c r="A219" s="20"/>
      <c r="B219" s="20"/>
      <c r="C219" s="15" t="n">
        <f aca="false">MOD(C218+3,24)</f>
        <v>3</v>
      </c>
      <c r="D219" s="17" t="n">
        <v>28</v>
      </c>
      <c r="E219" s="102" t="n">
        <f aca="false">input!$C$2</f>
        <v>10</v>
      </c>
      <c r="F219" s="102" t="n">
        <f aca="false">input!$D$2</f>
        <v>2022</v>
      </c>
      <c r="H219" s="39" t="n">
        <f aca="false">AM219</f>
        <v>-41.6528589928578</v>
      </c>
      <c r="I219" s="48" t="n">
        <f aca="false">H219+1.02/(TAN($A$4*(H219+10.3/(H219+5.11)))*60)</f>
        <v>-41.6717827203797</v>
      </c>
      <c r="J219" s="39" t="n">
        <f aca="false">100*(1+COS($A$4*AQ219))/2</f>
        <v>9.05935826137978</v>
      </c>
      <c r="K219" s="48" t="n">
        <f aca="false">IF(AI219&gt;180,AT219-180,AT219+180)</f>
        <v>163.095579410986</v>
      </c>
      <c r="L219" s="10" t="n">
        <f aca="false">L218+1/8</f>
        <v>2459880.625</v>
      </c>
      <c r="M219" s="49" t="n">
        <f aca="false">(L219-2451545)/36525</f>
        <v>0.22821697467488</v>
      </c>
      <c r="N219" s="15" t="n">
        <f aca="false">MOD(280.46061837+360.98564736629*(L219-2451545)+0.000387933*M219^2-M219^3/38710000+$G$4,360)</f>
        <v>81.4474662053399</v>
      </c>
      <c r="O219" s="18" t="n">
        <f aca="false">0.60643382+1336.85522467*M219 - 0.00000313*M219^2 - INT(0.60643382+1336.85522467*M219 - 0.00000313*M219^2)</f>
        <v>0.69948860947494</v>
      </c>
      <c r="P219" s="15" t="n">
        <f aca="false">22640*SIN(Q219)-4586*SIN(Q219-2*S219)+2370*SIN(2*S219)+769*SIN(2*Q219)-668*SIN(R219)-412*SIN(2*T219)-212*SIN(2*Q219-2*S219)-206*SIN(Q219+R219-2*S219)+192*SIN(Q219+2*S219)-165*SIN(R219-2*S219)-125*SIN(S219)-110*SIN(Q219+R219)+148*SIN(Q219-R219)-55*SIN(2*T219-2*S219)</f>
        <v>-8131.65146454985</v>
      </c>
      <c r="Q219" s="18" t="n">
        <f aca="false">2*PI()*(0.374897+1325.55241*M219 - INT(0.374897+1325.55241*M219))</f>
        <v>5.58234488942915</v>
      </c>
      <c r="R219" s="26" t="n">
        <f aca="false">2*PI()*(0.99312619+99.99735956*M219 - 0.00000044*M219^2 - INT(0.99312619+99.99735956*M219- 0.00000044*M219^2))</f>
        <v>5.11590168376218</v>
      </c>
      <c r="S219" s="26" t="n">
        <f aca="false">2*PI()*(0.827361+1236.853086*M219 - INT(0.827361+1236.853086*M219))</f>
        <v>0.617199832447189</v>
      </c>
      <c r="T219" s="26" t="n">
        <f aca="false">2*PI()*(0.259086+1342.227825*M219 - INT(0.259086+1342.227825*M219))</f>
        <v>3.63331188281548</v>
      </c>
      <c r="U219" s="26" t="n">
        <f aca="false">T219+(P219+412*SIN(2*T219)+541*SIN(R219))/206264.8062</f>
        <v>3.59313900743843</v>
      </c>
      <c r="V219" s="26" t="n">
        <f aca="false">T219-2*S219</f>
        <v>2.3989122179211</v>
      </c>
      <c r="W219" s="25" t="n">
        <f aca="false">-526*SIN(V219)+44*SIN(Q219+V219)-31*SIN(-Q219+V219)-23*SIN(R219+V219)+11*SIN(-R219+V219)-25*SIN(-2*Q219+T219)+21*SIN(-Q219+T219)</f>
        <v>-335.394518450238</v>
      </c>
      <c r="X219" s="26" t="n">
        <f aca="false">2*PI()*(O219+P219/1296000-INT(O219+P219/1296000))</f>
        <v>4.35559319479214</v>
      </c>
      <c r="Y219" s="26" t="n">
        <f aca="false">(18520*SIN(U219)+W219)/206264.8062</f>
        <v>-0.0408054779386892</v>
      </c>
      <c r="Z219" s="26" t="n">
        <f aca="false">Y219*180/PI()</f>
        <v>-2.33798166690108</v>
      </c>
      <c r="AA219" s="26" t="n">
        <f aca="false">COS(Y219)*COS(X219)</f>
        <v>-0.348982870786264</v>
      </c>
      <c r="AB219" s="26" t="n">
        <f aca="false">COS(Y219)*SIN(X219)</f>
        <v>-0.936240777169221</v>
      </c>
      <c r="AC219" s="26" t="n">
        <f aca="false">SIN(Y219)</f>
        <v>-0.0407941547694233</v>
      </c>
      <c r="AD219" s="26" t="n">
        <f aca="false">COS($A$4*(23.4393-46.815*M219/3600))*AB219-SIN($A$4*(23.4393-46.815*M219/3600))*AC219</f>
        <v>-0.842778300061592</v>
      </c>
      <c r="AE219" s="26" t="n">
        <f aca="false">SIN($A$4*(23.4393-46.815*M219/3600))*AB219+COS($A$4*(23.4393-46.815*M219/3600))*AC219</f>
        <v>-0.409799576431053</v>
      </c>
      <c r="AF219" s="26" t="n">
        <f aca="false">SQRT(1-AE219*AE219)</f>
        <v>0.912175590090488</v>
      </c>
      <c r="AG219" s="10" t="n">
        <f aca="false">ATAN(AE219/AF219)/$A$4</f>
        <v>-24.1922451294083</v>
      </c>
      <c r="AH219" s="26" t="n">
        <f aca="false">IF(24*ATAN(AD219/(AA219+AF219))/PI()&gt;0,24*ATAN(AD219/(AA219+AF219))/PI(),24*ATAN(AD219/(AA219+AF219))/PI()+24)</f>
        <v>16.500415235188</v>
      </c>
      <c r="AI219" s="10" t="n">
        <f aca="false">IF(N219-15*AH219&gt;0,N219-15*AH219,360+N219-15*AH219)</f>
        <v>193.94123767752</v>
      </c>
      <c r="AJ219" s="18" t="n">
        <f aca="false">0.950724+0.051818*COS(Q219)+0.009531*COS(2*S219-Q219)+0.007843*COS(2*S219)+0.002824*COS(2*Q219)+0.000857*COS(2*S219+Q219)+0.000533*COS(2*S219-R219)+0.000401*COS(2*S219-R219-Q219)+0.00032*COS(Q219-R219)-0.000271*COS(S219)</f>
        <v>0.990003943837644</v>
      </c>
      <c r="AK219" s="50" t="n">
        <f aca="false">ASIN(COS($A$4*$G$2)*COS($A$4*AG219)*COS($A$4*AI219)+SIN($A$4*$G$2)*SIN($A$4*AG219))/$A$4</f>
        <v>-40.9050141718963</v>
      </c>
      <c r="AL219" s="18" t="n">
        <f aca="false">ASIN((0.9983271+0.0016764*COS($A$4*2*$G$2))*COS($A$4*AK219)*SIN($A$4*AJ219))/$A$4</f>
        <v>0.747844820961511</v>
      </c>
      <c r="AM219" s="18" t="n">
        <f aca="false">AK219-AL219</f>
        <v>-41.6528589928578</v>
      </c>
      <c r="AN219" s="10" t="n">
        <f aca="false"> IF(280.4664567 + 360007.6982779*M219/10 + 0.03032028*M219^2/100 + M219^3/49931000&lt;0,MOD(280.4664567 + 360007.6982779*M219/10 + 0.03032028*M219^2/100 + M219^3/49931000+360,360),MOD(280.4664567 + 360007.6982779*M219/10 + 0.03032028*M219^2/100 + M219^3/49931000,360))</f>
        <v>216.453248556889</v>
      </c>
      <c r="AO219" s="27" t="n">
        <f aca="false"> AN219 + (1.9146 - 0.004817*M219 - 0.000014*M219^2)*SIN(R219)+ (0.019993 - 0.000101*M219)*SIN(2*R219)+ 0.00029*SIN(3*R219)</f>
        <v>214.679106029941</v>
      </c>
      <c r="AP219" s="18" t="n">
        <f aca="false">ACOS(COS(X219-$A$4*AO219)*COS(Y219))/$A$4</f>
        <v>34.9463674016698</v>
      </c>
      <c r="AQ219" s="25" t="n">
        <f aca="false">180 - AP219 -0.1468*(1-0.0549*SIN(R219))*SIN($A$4*AP219)/(1-0.0167*SIN($A$4*AO219))</f>
        <v>144.966129929682</v>
      </c>
      <c r="AR219" s="25" t="n">
        <f aca="false">SIN($A$4*AI219)</f>
        <v>-0.240926637122731</v>
      </c>
      <c r="AS219" s="25" t="n">
        <f aca="false">COS($A$4*AI219)*SIN($A$4*$G$2) - TAN($A$4*AG219)*COS($A$4*$G$2)</f>
        <v>0.792763031447591</v>
      </c>
      <c r="AT219" s="25" t="n">
        <f aca="false">IF(OR(AND(AR219*AS219&gt;0), AND(AR219&lt;0,AS219&gt;0)), MOD(ATAN2(AS219,AR219)/$A$4+360,360),  ATAN2(AS219,AR219)/$A$4)</f>
        <v>343.095579410986</v>
      </c>
      <c r="AU219" s="29" t="n">
        <f aca="false">(1+SIN($A$4*H219)*SIN($A$4*AJ219))*120*ASIN(0.272481*SIN($A$4*AJ219))/$A$4</f>
        <v>31.9976761533653</v>
      </c>
      <c r="AV219" s="10" t="n">
        <f aca="false">COS(X219)</f>
        <v>-0.349273615923772</v>
      </c>
      <c r="AW219" s="10" t="n">
        <f aca="false">SIN(X219)</f>
        <v>-0.937020779502532</v>
      </c>
      <c r="AX219" s="30" t="n">
        <f aca="false"> 385000.56 + (-20905355*COS(Q219) - 3699111*COS(2*S219-Q219) - 2955968*COS(2*S219) - 569925*COS(2*Q219) + (1-0.002516*M219)*48888*COS(R219) - 3149*COS(2*T219)  +246158*COS(2*S219-2*Q219) -(1-0.002516*M219)*152138*COS(2*S219-R219-Q219) -170733*COS(2*S219+Q219) -(1-0.002516*M219)*204586*COS(2*S219-R219) -(1-0.002516*M219)*129620*COS(R219-Q219)  + 108743*COS(S219) +(1-0.002516*M219)*104755*COS(R219+Q219) +10321*COS(2*S219-2*T219) +79661*COS(Q219-2*T219) -34782*COS(4*S219-Q219) -23210*COS(3*Q219)  -21636*COS(4*S219-2*Q219) +(1-0.002516*M219)*24208*COS(2*S219+R219-Q219) +(1-0.002516*M219)*30824*COS(2*S219+R219) -8379*COS(S219-Q219) -(1-0.002516*M219)*16675*COS(S219+R219)  -(1-0.002516*M219)*12831*COS(2*S219-R219+Q219) -10445*COS(2*S219+2*Q219) -11650*COS(4*S219) +14403*COS(2*S219-3*Q219) -(1-0.002516*M219)*7003*COS(R219-2*Q219)  + (1-0.002516*M219)*10056*COS(2*S219-R219-2*Q219) +6322*COS(S219+Q219) -(1-0.002516*M219)*(1-0.002516*M219)*9884*COS(2*S219-2*R219) +(1-0.002516*M219)*5751*COS(R219+2*Q219) -(1-0.002516*M219)*(1-0.002516*M219)*4950*COS(2*S219-2*R219-Q219)  +4130*COS(2*S219+Q219-2*T219) -(1-0.002516*M219)*3958*COS(4*S219-R219-Q219) +3258*COS(3*S219-Q219) +(1-0.002516*M219)*2616*COS(2*S219+R219+Q219) -(1-0.002516*M219)*1897*COS(4*S219-R219-2*Q219)  -(1-0.002516*M219)*(1-0.002516*M219)*2117*COS(2*R219-Q219) +(1-0.002516*M219)*(1-0.002516*M219)*2354*COS(2*S219+2*R219-Q219) -1423*COS(4*S219+Q219) -1117*COS(4*Q219) -(1-0.002516*M219)*1571*COS(4*S219-R219)  -1739*COS(S219-2*Q219) -4421*COS(2*Q219-2*T219) +(1-0.002516*M219)*(1-0.002516*M219)*1165*COS(2*R219+Q219) +8752*COS(2*S219-Q219-2*T219))/1000</f>
        <v>369266.25219814</v>
      </c>
      <c r="AY219" s="10" t="n">
        <f aca="false">AY218+1/8</f>
        <v>28.125</v>
      </c>
      <c r="AZ219" s="17" t="n">
        <f aca="false">AZ218+1</f>
        <v>218</v>
      </c>
      <c r="BA219" s="32" t="n">
        <f aca="false">ATAN(0.99664719*TAN($A$4*input!$E$2))</f>
        <v>-0.400219206115995</v>
      </c>
      <c r="BB219" s="32" t="n">
        <f aca="false">COS(BA219)</f>
        <v>0.920975608992155</v>
      </c>
      <c r="BC219" s="32" t="n">
        <f aca="false">0.99664719*SIN(BA219)</f>
        <v>-0.388313912533463</v>
      </c>
      <c r="BD219" s="32" t="n">
        <f aca="false">6378.14/AX219</f>
        <v>0.0172724692874929</v>
      </c>
      <c r="BE219" s="33" t="n">
        <f aca="false">MOD(N219-15*AH219,360)</f>
        <v>193.94123767752</v>
      </c>
      <c r="BF219" s="27" t="n">
        <f aca="false">COS($A$4*AG219)*SIN($A$4*BE219)</f>
        <v>-0.219767397385944</v>
      </c>
      <c r="BG219" s="27" t="n">
        <f aca="false">COS($A$4*AG219)*COS($A$4*BE219)-BB219*BD219</f>
        <v>-0.90121345772708</v>
      </c>
      <c r="BH219" s="27" t="n">
        <f aca="false">SIN($A$4*AG219)-BC219*BD219</f>
        <v>-0.403092436302913</v>
      </c>
      <c r="BI219" s="46" t="n">
        <f aca="false">SQRT(BF219^2+BG219^2+BH219^2)</f>
        <v>1.0114182703248</v>
      </c>
      <c r="BJ219" s="35" t="n">
        <f aca="false">AX219*BI219</f>
        <v>373482.634087564</v>
      </c>
    </row>
    <row r="220" customFormat="false" ht="15" hidden="false" customHeight="false" outlineLevel="0" collapsed="false">
      <c r="A220" s="20"/>
      <c r="B220" s="20"/>
      <c r="C220" s="15" t="n">
        <f aca="false">MOD(C219+3,24)</f>
        <v>6</v>
      </c>
      <c r="D220" s="17" t="n">
        <v>28</v>
      </c>
      <c r="E220" s="102" t="n">
        <f aca="false">input!$C$2</f>
        <v>10</v>
      </c>
      <c r="F220" s="102" t="n">
        <f aca="false">input!$D$2</f>
        <v>2022</v>
      </c>
      <c r="H220" s="39" t="n">
        <f aca="false">AM220</f>
        <v>-17.8859358114441</v>
      </c>
      <c r="I220" s="48" t="n">
        <f aca="false">H220+1.02/(TAN($A$4*(H220+10.3/(H220+5.11)))*60)</f>
        <v>-17.9361828475606</v>
      </c>
      <c r="J220" s="39" t="n">
        <f aca="false">100*(1+COS($A$4*AQ220))/2</f>
        <v>9.91210132007402</v>
      </c>
      <c r="K220" s="48" t="n">
        <f aca="false">IF(AI220&gt;180,AT220-180,AT220+180)</f>
        <v>127.012214417471</v>
      </c>
      <c r="L220" s="10" t="n">
        <f aca="false">L219+1/8</f>
        <v>2459880.75</v>
      </c>
      <c r="M220" s="49" t="n">
        <f aca="false">(L220-2451545)/36525</f>
        <v>0.228220396988364</v>
      </c>
      <c r="N220" s="15" t="n">
        <f aca="false">MOD(280.46061837+360.98564736629*(L220-2451545)+0.000387933*M220^2-M220^3/38710000+$G$4,360)</f>
        <v>126.570672126953</v>
      </c>
      <c r="O220" s="18" t="n">
        <f aca="false">0.60643382+1336.85522467*M220 - 0.00000313*M220^2 - INT(0.60643382+1336.85522467*M220 - 0.00000313*M220^2)</f>
        <v>0.704063747131499</v>
      </c>
      <c r="P220" s="15" t="n">
        <f aca="false">22640*SIN(Q220)-4586*SIN(Q220-2*S220)+2370*SIN(2*S220)+769*SIN(2*Q220)-668*SIN(R220)-412*SIN(2*T220)-212*SIN(2*Q220-2*S220)-206*SIN(Q220+R220-2*S220)+192*SIN(Q220+2*S220)-165*SIN(R220-2*S220)-125*SIN(S220)-110*SIN(Q220+R220)+148*SIN(Q220-R220)-55*SIN(2*T220-2*S220)</f>
        <v>-7636.02119901135</v>
      </c>
      <c r="Q220" s="18" t="n">
        <f aca="false">2*PI()*(0.374897+1325.55241*M220 - INT(0.374897+1325.55241*M220))</f>
        <v>5.61084828240095</v>
      </c>
      <c r="R220" s="26" t="n">
        <f aca="false">2*PI()*(0.99312619+99.99735956*M220 - 0.00000044*M220^2 - INT(0.99312619+99.99735956*M220- 0.00000044*M220^2))</f>
        <v>5.11805192996026</v>
      </c>
      <c r="S220" s="26" t="n">
        <f aca="false">2*PI()*(0.827361+1236.853086*M220 - INT(0.827361+1236.853086*M220))</f>
        <v>0.643795921212112</v>
      </c>
      <c r="T220" s="26" t="n">
        <f aca="false">2*PI()*(0.259086+1342.227825*M220 - INT(0.259086+1342.227825*M220))</f>
        <v>3.66217384773288</v>
      </c>
      <c r="U220" s="26" t="n">
        <f aca="false">T220+(P220+412*SIN(2*T220)+541*SIN(R220))/206264.8062</f>
        <v>3.62446716582044</v>
      </c>
      <c r="V220" s="26" t="n">
        <f aca="false">T220-2*S220</f>
        <v>2.37458200530866</v>
      </c>
      <c r="W220" s="25" t="n">
        <f aca="false">-526*SIN(V220)+44*SIN(Q220+V220)-31*SIN(-Q220+V220)-23*SIN(R220+V220)+11*SIN(-R220+V220)-25*SIN(-2*Q220+T220)+21*SIN(-Q220+T220)</f>
        <v>-345.720465455706</v>
      </c>
      <c r="X220" s="26" t="n">
        <f aca="false">2*PI()*(O220+P220/1296000-INT(O220+P220/1296000))</f>
        <v>4.38674251582921</v>
      </c>
      <c r="Y220" s="26" t="n">
        <f aca="false">(18520*SIN(U220)+W220)/206264.8062</f>
        <v>-0.0433668525224305</v>
      </c>
      <c r="Z220" s="26" t="n">
        <f aca="false">Y220*180/PI()</f>
        <v>-2.48473762030154</v>
      </c>
      <c r="AA220" s="26" t="n">
        <f aca="false">COS(Y220)*COS(X220)</f>
        <v>-0.319620553384889</v>
      </c>
      <c r="AB220" s="26" t="n">
        <f aca="false">COS(Y220)*SIN(X220)</f>
        <v>-0.946553324779579</v>
      </c>
      <c r="AC220" s="26" t="n">
        <f aca="false">SIN(Y220)</f>
        <v>-0.0433532605770623</v>
      </c>
      <c r="AD220" s="26" t="n">
        <f aca="false">COS($A$4*(23.4393-46.815*M220/3600))*AB220-SIN($A$4*(23.4393-46.815*M220/3600))*AC220</f>
        <v>-0.851222257084505</v>
      </c>
      <c r="AE220" s="26" t="n">
        <f aca="false">SIN($A$4*(23.4393-46.815*M220/3600))*AB220+COS($A$4*(23.4393-46.815*M220/3600))*AC220</f>
        <v>-0.416249169245895</v>
      </c>
      <c r="AF220" s="26" t="n">
        <f aca="false">SQRT(1-AE220*AE220)</f>
        <v>0.909250586528325</v>
      </c>
      <c r="AG220" s="10" t="n">
        <f aca="false">ATAN(AE220/AF220)/$A$4</f>
        <v>-24.5980072823508</v>
      </c>
      <c r="AH220" s="26" t="n">
        <f aca="false">IF(24*ATAN(AD220/(AA220+AF220))/PI()&gt;0,24*ATAN(AD220/(AA220+AF220))/PI(),24*ATAN(AD220/(AA220+AF220))/PI()+24)</f>
        <v>16.6279755796699</v>
      </c>
      <c r="AI220" s="10" t="n">
        <f aca="false">IF(N220-15*AH220&gt;0,N220-15*AH220,360+N220-15*AH220)</f>
        <v>237.151038431904</v>
      </c>
      <c r="AJ220" s="18" t="n">
        <f aca="false">0.950724+0.051818*COS(Q220)+0.009531*COS(2*S220-Q220)+0.007843*COS(2*S220)+0.002824*COS(2*Q220)+0.000857*COS(2*S220+Q220)+0.000533*COS(2*S220-R220)+0.000401*COS(2*S220-R220-Q220)+0.00032*COS(Q220-R220)-0.000271*COS(S220)</f>
        <v>0.990426190652536</v>
      </c>
      <c r="AK220" s="50" t="n">
        <f aca="false">ASIN(COS($A$4*$G$2)*COS($A$4*AG220)*COS($A$4*AI220)+SIN($A$4*$G$2)*SIN($A$4*AG220))/$A$4</f>
        <v>-16.9389643092333</v>
      </c>
      <c r="AL220" s="18" t="n">
        <f aca="false">ASIN((0.9983271+0.0016764*COS($A$4*2*$G$2))*COS($A$4*AK220)*SIN($A$4*AJ220))/$A$4</f>
        <v>0.94697150221078</v>
      </c>
      <c r="AM220" s="18" t="n">
        <f aca="false">AK220-AL220</f>
        <v>-17.8859358114441</v>
      </c>
      <c r="AN220" s="10" t="n">
        <f aca="false"> IF(280.4664567 + 360007.6982779*M220/10 + 0.03032028*M220^2/100 + M220^3/49931000&lt;0,MOD(280.4664567 + 360007.6982779*M220/10 + 0.03032028*M220^2/100 + M220^3/49931000+360,360),MOD(280.4664567 + 360007.6982779*M220/10 + 0.03032028*M220^2/100 + M220^3/49931000,360))</f>
        <v>216.576454477374</v>
      </c>
      <c r="AO220" s="27" t="n">
        <f aca="false"> AN220 + (1.9146 - 0.004817*M220 - 0.000014*M220^2)*SIN(R220)+ (0.019993 - 0.000101*M220)*SIN(2*R220)+ 0.00029*SIN(3*R220)</f>
        <v>214.803870576809</v>
      </c>
      <c r="AP220" s="18" t="n">
        <f aca="false">ACOS(COS(X220-$A$4*AO220)*COS(Y220))/$A$4</f>
        <v>36.6105985084261</v>
      </c>
      <c r="AQ220" s="25" t="n">
        <f aca="false">180 - AP220 -0.1468*(1-0.0549*SIN(R220))*SIN($A$4*AP220)/(1-0.0167*SIN($A$4*AO220))</f>
        <v>143.298305905771</v>
      </c>
      <c r="AR220" s="25" t="n">
        <f aca="false">SIN($A$4*AI220)</f>
        <v>-0.840103385001632</v>
      </c>
      <c r="AS220" s="25" t="n">
        <f aca="false">COS($A$4*AI220)*SIN($A$4*$G$2) - TAN($A$4*AG220)*COS($A$4*$G$2)</f>
        <v>0.633344145973079</v>
      </c>
      <c r="AT220" s="25" t="n">
        <f aca="false">IF(OR(AND(AR220*AS220&gt;0), AND(AR220&lt;0,AS220&gt;0)), MOD(ATAN2(AS220,AR220)/$A$4+360,360),  ATAN2(AS220,AR220)/$A$4)</f>
        <v>307.012214417471</v>
      </c>
      <c r="AU220" s="29" t="n">
        <f aca="false">(1+SIN($A$4*H220)*SIN($A$4*AJ220))*120*ASIN(0.272481*SIN($A$4*AJ220))/$A$4</f>
        <v>32.2112717650956</v>
      </c>
      <c r="AV220" s="10" t="n">
        <f aca="false">COS(X220)</f>
        <v>-0.319921341697742</v>
      </c>
      <c r="AW220" s="10" t="n">
        <f aca="false">SIN(X220)</f>
        <v>-0.94744410659749</v>
      </c>
      <c r="AX220" s="30" t="n">
        <f aca="false"> 385000.56 + (-20905355*COS(Q220) - 3699111*COS(2*S220-Q220) - 2955968*COS(2*S220) - 569925*COS(2*Q220) + (1-0.002516*M220)*48888*COS(R220) - 3149*COS(2*T220)  +246158*COS(2*S220-2*Q220) -(1-0.002516*M220)*152138*COS(2*S220-R220-Q220) -170733*COS(2*S220+Q220) -(1-0.002516*M220)*204586*COS(2*S220-R220) -(1-0.002516*M220)*129620*COS(R220-Q220)  + 108743*COS(S220) +(1-0.002516*M220)*104755*COS(R220+Q220) +10321*COS(2*S220-2*T220) +79661*COS(Q220-2*T220) -34782*COS(4*S220-Q220) -23210*COS(3*Q220)  -21636*COS(4*S220-2*Q220) +(1-0.002516*M220)*24208*COS(2*S220+R220-Q220) +(1-0.002516*M220)*30824*COS(2*S220+R220) -8379*COS(S220-Q220) -(1-0.002516*M220)*16675*COS(S220+R220)  -(1-0.002516*M220)*12831*COS(2*S220-R220+Q220) -10445*COS(2*S220+2*Q220) -11650*COS(4*S220) +14403*COS(2*S220-3*Q220) -(1-0.002516*M220)*7003*COS(R220-2*Q220)  + (1-0.002516*M220)*10056*COS(2*S220-R220-2*Q220) +6322*COS(S220+Q220) -(1-0.002516*M220)*(1-0.002516*M220)*9884*COS(2*S220-2*R220) +(1-0.002516*M220)*5751*COS(R220+2*Q220) -(1-0.002516*M220)*(1-0.002516*M220)*4950*COS(2*S220-2*R220-Q220)  +4130*COS(2*S220+Q220-2*T220) -(1-0.002516*M220)*3958*COS(4*S220-R220-Q220) +3258*COS(3*S220-Q220) +(1-0.002516*M220)*2616*COS(2*S220+R220+Q220) -(1-0.002516*M220)*1897*COS(4*S220-R220-2*Q220)  -(1-0.002516*M220)*(1-0.002516*M220)*2117*COS(2*R220-Q220) +(1-0.002516*M220)*(1-0.002516*M220)*2354*COS(2*S220+2*R220-Q220) -1423*COS(4*S220+Q220) -1117*COS(4*Q220) -(1-0.002516*M220)*1571*COS(4*S220-R220)  -1739*COS(S220-2*Q220) -4421*COS(2*Q220-2*T220) +(1-0.002516*M220)*(1-0.002516*M220)*1165*COS(2*R220+Q220) +8752*COS(2*S220-Q220-2*T220))/1000</f>
        <v>369104.99884889</v>
      </c>
      <c r="AY220" s="10" t="n">
        <f aca="false">AY219+1/8</f>
        <v>28.25</v>
      </c>
      <c r="AZ220" s="17" t="n">
        <f aca="false">AZ219+1</f>
        <v>219</v>
      </c>
      <c r="BA220" s="32" t="n">
        <f aca="false">ATAN(0.99664719*TAN($A$4*input!$E$2))</f>
        <v>-0.400219206115995</v>
      </c>
      <c r="BB220" s="32" t="n">
        <f aca="false">COS(BA220)</f>
        <v>0.920975608992155</v>
      </c>
      <c r="BC220" s="32" t="n">
        <f aca="false">0.99664719*SIN(BA220)</f>
        <v>-0.388313912533463</v>
      </c>
      <c r="BD220" s="32" t="n">
        <f aca="false">6378.14/AX220</f>
        <v>0.0172800152257249</v>
      </c>
      <c r="BE220" s="33" t="n">
        <f aca="false">MOD(N220-15*AH220,360)</f>
        <v>237.151038431904</v>
      </c>
      <c r="BF220" s="27" t="n">
        <f aca="false">COS($A$4*AG220)*SIN($A$4*BE220)</f>
        <v>-0.763864495557165</v>
      </c>
      <c r="BG220" s="27" t="n">
        <f aca="false">COS($A$4*AG220)*COS($A$4*BE220)-BB220*BD220</f>
        <v>-0.50911591367245</v>
      </c>
      <c r="BH220" s="27" t="n">
        <f aca="false">SIN($A$4*AG220)-BC220*BD220</f>
        <v>-0.409539098924956</v>
      </c>
      <c r="BI220" s="46" t="n">
        <f aca="false">SQRT(BF220^2+BG220^2+BH220^2)</f>
        <v>1.00519165071921</v>
      </c>
      <c r="BJ220" s="35" t="n">
        <f aca="false">AX220*BI220</f>
        <v>371021.263081626</v>
      </c>
    </row>
    <row r="221" customFormat="false" ht="15" hidden="false" customHeight="false" outlineLevel="0" collapsed="false">
      <c r="A221" s="20"/>
      <c r="B221" s="20"/>
      <c r="C221" s="15" t="n">
        <f aca="false">MOD(C220+3,24)</f>
        <v>9</v>
      </c>
      <c r="D221" s="17" t="n">
        <v>28</v>
      </c>
      <c r="E221" s="102" t="n">
        <f aca="false">input!$C$2</f>
        <v>10</v>
      </c>
      <c r="F221" s="102" t="n">
        <f aca="false">input!$D$2</f>
        <v>2022</v>
      </c>
      <c r="H221" s="39" t="n">
        <f aca="false">AM221</f>
        <v>17.4136604946226</v>
      </c>
      <c r="I221" s="48" t="n">
        <f aca="false">H221+1.02/(TAN($A$4*(H221+10.3/(H221+5.11)))*60)</f>
        <v>17.4663848682409</v>
      </c>
      <c r="J221" s="39" t="n">
        <f aca="false">100*(1+COS($A$4*AQ221))/2</f>
        <v>10.7993300747697</v>
      </c>
      <c r="K221" s="48" t="n">
        <f aca="false">IF(AI221&gt;180,AT221-180,AT221+180)</f>
        <v>110.031164684133</v>
      </c>
      <c r="L221" s="10" t="n">
        <f aca="false">L220+1/8</f>
        <v>2459880.875</v>
      </c>
      <c r="M221" s="49" t="n">
        <f aca="false">(L221-2451545)/36525</f>
        <v>0.228223819301848</v>
      </c>
      <c r="N221" s="15" t="n">
        <f aca="false">MOD(280.46061837+360.98564736629*(L221-2451545)+0.000387933*M221^2-M221^3/38710000+$G$4,360)</f>
        <v>171.6938780481</v>
      </c>
      <c r="O221" s="18" t="n">
        <f aca="false">0.60643382+1336.85522467*M221 - 0.00000313*M221^2 - INT(0.60643382+1336.85522467*M221 - 0.00000313*M221^2)</f>
        <v>0.708638884788059</v>
      </c>
      <c r="P221" s="15" t="n">
        <f aca="false">22640*SIN(Q221)-4586*SIN(Q221-2*S221)+2370*SIN(2*S221)+769*SIN(2*Q221)-668*SIN(R221)-412*SIN(2*T221)-212*SIN(2*Q221-2*S221)-206*SIN(Q221+R221-2*S221)+192*SIN(Q221+2*S221)-165*SIN(R221-2*S221)-125*SIN(S221)-110*SIN(Q221+R221)+148*SIN(Q221-R221)-55*SIN(2*T221-2*S221)</f>
        <v>-7135.45387849578</v>
      </c>
      <c r="Q221" s="18" t="n">
        <f aca="false">2*PI()*(0.374897+1325.55241*M221 - INT(0.374897+1325.55241*M221))</f>
        <v>5.63935167537311</v>
      </c>
      <c r="R221" s="26" t="n">
        <f aca="false">2*PI()*(0.99312619+99.99735956*M221 - 0.00000044*M221^2 - INT(0.99312619+99.99735956*M221- 0.00000044*M221^2))</f>
        <v>5.12020217615836</v>
      </c>
      <c r="S221" s="26" t="n">
        <f aca="false">2*PI()*(0.827361+1236.853086*M221 - INT(0.827361+1236.853086*M221))</f>
        <v>0.670392009977034</v>
      </c>
      <c r="T221" s="26" t="n">
        <f aca="false">2*PI()*(0.259086+1342.227825*M221 - INT(0.259086+1342.227825*M221))</f>
        <v>3.69103581265028</v>
      </c>
      <c r="U221" s="26" t="n">
        <f aca="false">T221+(P221+412*SIN(2*T221)+541*SIN(R221))/206264.8062</f>
        <v>3.65581352877205</v>
      </c>
      <c r="V221" s="26" t="n">
        <f aca="false">T221-2*S221</f>
        <v>2.35025179269621</v>
      </c>
      <c r="W221" s="25" t="n">
        <f aca="false">-526*SIN(V221)+44*SIN(Q221+V221)-31*SIN(-Q221+V221)-23*SIN(R221+V221)+11*SIN(-R221+V221)-25*SIN(-2*Q221+T221)+21*SIN(-Q221+T221)</f>
        <v>-355.828290919994</v>
      </c>
      <c r="X221" s="26" t="n">
        <f aca="false">2*PI()*(O221+P221/1296000-INT(O221+P221/1296000))</f>
        <v>4.41791577238425</v>
      </c>
      <c r="Y221" s="26" t="n">
        <f aca="false">(18520*SIN(U221)+W221)/206264.8062</f>
        <v>-0.0458876785990926</v>
      </c>
      <c r="Z221" s="26" t="n">
        <f aca="false">Y221*180/PI()</f>
        <v>-2.6291703153808</v>
      </c>
      <c r="AA221" s="26" t="n">
        <f aca="false">COS(Y221)*COS(X221)</f>
        <v>-0.289930256013409</v>
      </c>
      <c r="AB221" s="26" t="n">
        <f aca="false">COS(Y221)*SIN(X221)</f>
        <v>-0.955947825536162</v>
      </c>
      <c r="AC221" s="26" t="n">
        <f aca="false">SIN(Y221)</f>
        <v>-0.0458715761739545</v>
      </c>
      <c r="AD221" s="26" t="n">
        <f aca="false">COS($A$4*(23.4393-46.815*M221/3600))*AB221-SIN($A$4*(23.4393-46.815*M221/3600))*AC221</f>
        <v>-0.858840127220168</v>
      </c>
      <c r="AE221" s="26" t="n">
        <f aca="false">SIN($A$4*(23.4393-46.815*M221/3600))*AB221+COS($A$4*(23.4393-46.815*M221/3600))*AC221</f>
        <v>-0.422296202356172</v>
      </c>
      <c r="AF221" s="26" t="n">
        <f aca="false">SQRT(1-AE221*AE221)</f>
        <v>0.906457896140552</v>
      </c>
      <c r="AG221" s="10" t="n">
        <f aca="false">ATAN(AE221/AF221)/$A$4</f>
        <v>-24.979641446809</v>
      </c>
      <c r="AH221" s="26" t="n">
        <f aca="false">IF(24*ATAN(AD221/(AA221+AF221))/PI()&gt;0,24*ATAN(AD221/(AA221+AF221))/PI(),24*ATAN(AD221/(AA221+AF221))/PI()+24)</f>
        <v>16.7564110923839</v>
      </c>
      <c r="AI221" s="10" t="n">
        <f aca="false">IF(N221-15*AH221&gt;0,N221-15*AH221,360+N221-15*AH221)</f>
        <v>280.34771166234</v>
      </c>
      <c r="AJ221" s="18" t="n">
        <f aca="false">0.950724+0.051818*COS(Q221)+0.009531*COS(2*S221-Q221)+0.007843*COS(2*S221)+0.002824*COS(2*Q221)+0.000857*COS(2*S221+Q221)+0.000533*COS(2*S221-R221)+0.000401*COS(2*S221-R221-Q221)+0.00032*COS(Q221-R221)-0.000271*COS(S221)</f>
        <v>0.990806014688868</v>
      </c>
      <c r="AK221" s="50" t="n">
        <f aca="false">ASIN(COS($A$4*$G$2)*COS($A$4*AG221)*COS($A$4*AI221)+SIN($A$4*$G$2)*SIN($A$4*AG221))/$A$4</f>
        <v>18.3535828456294</v>
      </c>
      <c r="AL221" s="18" t="n">
        <f aca="false">ASIN((0.9983271+0.0016764*COS($A$4*2*$G$2))*COS($A$4*AK221)*SIN($A$4*AJ221))/$A$4</f>
        <v>0.939922351006801</v>
      </c>
      <c r="AM221" s="18" t="n">
        <f aca="false">AK221-AL221</f>
        <v>17.4136604946226</v>
      </c>
      <c r="AN221" s="10" t="n">
        <f aca="false"> IF(280.4664567 + 360007.6982779*M221/10 + 0.03032028*M221^2/100 + M221^3/49931000&lt;0,MOD(280.4664567 + 360007.6982779*M221/10 + 0.03032028*M221^2/100 + M221^3/49931000+360,360),MOD(280.4664567 + 360007.6982779*M221/10 + 0.03032028*M221^2/100 + M221^3/49931000,360))</f>
        <v>216.699660397862</v>
      </c>
      <c r="AO221" s="27" t="n">
        <f aca="false"> AN221 + (1.9146 - 0.004817*M221 - 0.000014*M221^2)*SIN(R221)+ (0.019993 - 0.000101*M221)*SIN(2*R221)+ 0.00029*SIN(3*R221)</f>
        <v>214.928643516459</v>
      </c>
      <c r="AP221" s="18" t="n">
        <f aca="false">ACOS(COS(X221-$A$4*AO221)*COS(Y221))/$A$4</f>
        <v>38.2758651809759</v>
      </c>
      <c r="AQ221" s="25" t="n">
        <f aca="false">180 - AP221 -0.1468*(1-0.0549*SIN(R221))*SIN($A$4*AP221)/(1-0.0167*SIN($A$4*AO221))</f>
        <v>141.62952154218</v>
      </c>
      <c r="AR221" s="25" t="n">
        <f aca="false">SIN($A$4*AI221)</f>
        <v>-0.983735803640358</v>
      </c>
      <c r="AS221" s="25" t="n">
        <f aca="false">COS($A$4*AI221)*SIN($A$4*$G$2) - TAN($A$4*AG221)*COS($A$4*$G$2)</f>
        <v>0.35865663512053</v>
      </c>
      <c r="AT221" s="25" t="n">
        <f aca="false">IF(OR(AND(AR221*AS221&gt;0), AND(AR221&lt;0,AS221&gt;0)), MOD(ATAN2(AS221,AR221)/$A$4+360,360),  ATAN2(AS221,AR221)/$A$4)</f>
        <v>290.031164684133</v>
      </c>
      <c r="AU221" s="29" t="n">
        <f aca="false">(1+SIN($A$4*H221)*SIN($A$4*AJ221))*120*ASIN(0.272481*SIN($A$4*AJ221))/$A$4</f>
        <v>32.5632480549705</v>
      </c>
      <c r="AV221" s="10" t="n">
        <f aca="false">COS(X221)</f>
        <v>-0.290235774091641</v>
      </c>
      <c r="AW221" s="10" t="n">
        <f aca="false">SIN(X221)</f>
        <v>-0.95695516897994</v>
      </c>
      <c r="AX221" s="30" t="n">
        <f aca="false"> 385000.56 + (-20905355*COS(Q221) - 3699111*COS(2*S221-Q221) - 2955968*COS(2*S221) - 569925*COS(2*Q221) + (1-0.002516*M221)*48888*COS(R221) - 3149*COS(2*T221)  +246158*COS(2*S221-2*Q221) -(1-0.002516*M221)*152138*COS(2*S221-R221-Q221) -170733*COS(2*S221+Q221) -(1-0.002516*M221)*204586*COS(2*S221-R221) -(1-0.002516*M221)*129620*COS(R221-Q221)  + 108743*COS(S221) +(1-0.002516*M221)*104755*COS(R221+Q221) +10321*COS(2*S221-2*T221) +79661*COS(Q221-2*T221) -34782*COS(4*S221-Q221) -23210*COS(3*Q221)  -21636*COS(4*S221-2*Q221) +(1-0.002516*M221)*24208*COS(2*S221+R221-Q221) +(1-0.002516*M221)*30824*COS(2*S221+R221) -8379*COS(S221-Q221) -(1-0.002516*M221)*16675*COS(S221+R221)  -(1-0.002516*M221)*12831*COS(2*S221-R221+Q221) -10445*COS(2*S221+2*Q221) -11650*COS(4*S221) +14403*COS(2*S221-3*Q221) -(1-0.002516*M221)*7003*COS(R221-2*Q221)  + (1-0.002516*M221)*10056*COS(2*S221-R221-2*Q221) +6322*COS(S221+Q221) -(1-0.002516*M221)*(1-0.002516*M221)*9884*COS(2*S221-2*R221) +(1-0.002516*M221)*5751*COS(R221+2*Q221) -(1-0.002516*M221)*(1-0.002516*M221)*4950*COS(2*S221-2*R221-Q221)  +4130*COS(2*S221+Q221-2*T221) -(1-0.002516*M221)*3958*COS(4*S221-R221-Q221) +3258*COS(3*S221-Q221) +(1-0.002516*M221)*2616*COS(2*S221+R221+Q221) -(1-0.002516*M221)*1897*COS(4*S221-R221-2*Q221)  -(1-0.002516*M221)*(1-0.002516*M221)*2117*COS(2*R221-Q221) +(1-0.002516*M221)*(1-0.002516*M221)*2354*COS(2*S221+2*R221-Q221) -1423*COS(4*S221+Q221) -1117*COS(4*Q221) -(1-0.002516*M221)*1571*COS(4*S221-R221)  -1739*COS(S221-2*Q221) -4421*COS(2*Q221-2*T221) +(1-0.002516*M221)*(1-0.002516*M221)*1165*COS(2*R221+Q221) +8752*COS(2*S221-Q221-2*T221))/1000</f>
        <v>368958.969011235</v>
      </c>
      <c r="AY221" s="10" t="n">
        <f aca="false">AY220+1/8</f>
        <v>28.375</v>
      </c>
      <c r="AZ221" s="17" t="n">
        <f aca="false">AZ220+1</f>
        <v>220</v>
      </c>
      <c r="BA221" s="32" t="n">
        <f aca="false">ATAN(0.99664719*TAN($A$4*input!$E$2))</f>
        <v>-0.400219206115995</v>
      </c>
      <c r="BB221" s="32" t="n">
        <f aca="false">COS(BA221)</f>
        <v>0.920975608992155</v>
      </c>
      <c r="BC221" s="32" t="n">
        <f aca="false">0.99664719*SIN(BA221)</f>
        <v>-0.388313912533463</v>
      </c>
      <c r="BD221" s="32" t="n">
        <f aca="false">6378.14/AX221</f>
        <v>0.0172868544626863</v>
      </c>
      <c r="BE221" s="33" t="n">
        <f aca="false">MOD(N221-15*AH221,360)</f>
        <v>280.34771166234</v>
      </c>
      <c r="BF221" s="27" t="n">
        <f aca="false">COS($A$4*AG221)*SIN($A$4*BE221)</f>
        <v>-0.891715086925973</v>
      </c>
      <c r="BG221" s="27" t="n">
        <f aca="false">COS($A$4*AG221)*COS($A$4*BE221)-BB221*BD221</f>
        <v>0.146898518769821</v>
      </c>
      <c r="BH221" s="27" t="n">
        <f aca="false">SIN($A$4*AG221)-BC221*BD221</f>
        <v>-0.41558347626437</v>
      </c>
      <c r="BI221" s="46" t="n">
        <f aca="false">SQRT(BF221^2+BG221^2+BH221^2)</f>
        <v>0.99470829734759</v>
      </c>
      <c r="BJ221" s="35" t="n">
        <f aca="false">AX221*BI221</f>
        <v>367006.547856288</v>
      </c>
    </row>
    <row r="222" customFormat="false" ht="15" hidden="false" customHeight="false" outlineLevel="0" collapsed="false">
      <c r="A222" s="20"/>
      <c r="B222" s="20"/>
      <c r="C222" s="15" t="n">
        <f aca="false">MOD(C221+3,24)</f>
        <v>12</v>
      </c>
      <c r="D222" s="17" t="n">
        <v>28</v>
      </c>
      <c r="E222" s="102" t="n">
        <f aca="false">input!$C$2</f>
        <v>10</v>
      </c>
      <c r="F222" s="102" t="n">
        <f aca="false">input!$D$2</f>
        <v>2022</v>
      </c>
      <c r="H222" s="39" t="n">
        <f aca="false">AM222</f>
        <v>56.204140323882</v>
      </c>
      <c r="I222" s="48" t="n">
        <f aca="false">H222+1.02/(TAN($A$4*(H222+10.3/(H222+5.11)))*60)</f>
        <v>56.2154470211543</v>
      </c>
      <c r="J222" s="39" t="n">
        <f aca="false">100*(1+COS($A$4*AQ222))/2</f>
        <v>11.7202499904459</v>
      </c>
      <c r="K222" s="48" t="n">
        <f aca="false">IF(AI222&gt;180,AT222-180,AT222+180)</f>
        <v>101.563845750602</v>
      </c>
      <c r="L222" s="10" t="n">
        <f aca="false">L221+1/8</f>
        <v>2459881</v>
      </c>
      <c r="M222" s="49" t="n">
        <f aca="false">(L222-2451545)/36525</f>
        <v>0.228227241615332</v>
      </c>
      <c r="N222" s="15" t="n">
        <f aca="false">MOD(280.46061837+360.98564736629*(L222-2451545)+0.000387933*M222^2-M222^3/38710000+$G$4,360)</f>
        <v>216.817083969247</v>
      </c>
      <c r="O222" s="18" t="n">
        <f aca="false">0.60643382+1336.85522467*M222 - 0.00000313*M222^2 - INT(0.60643382+1336.85522467*M222 - 0.00000313*M222^2)</f>
        <v>0.713214022444618</v>
      </c>
      <c r="P222" s="15" t="n">
        <f aca="false">22640*SIN(Q222)-4586*SIN(Q222-2*S222)+2370*SIN(2*S222)+769*SIN(2*Q222)-668*SIN(R222)-412*SIN(2*T222)-212*SIN(2*Q222-2*S222)-206*SIN(Q222+R222-2*S222)+192*SIN(Q222+2*S222)-165*SIN(R222-2*S222)-125*SIN(S222)-110*SIN(Q222+R222)+148*SIN(Q222-R222)-55*SIN(2*T222-2*S222)</f>
        <v>-6630.49016535715</v>
      </c>
      <c r="Q222" s="18" t="n">
        <f aca="false">2*PI()*(0.374897+1325.55241*M222 - INT(0.374897+1325.55241*M222))</f>
        <v>5.66785506834526</v>
      </c>
      <c r="R222" s="26" t="n">
        <f aca="false">2*PI()*(0.99312619+99.99735956*M222 - 0.00000044*M222^2 - INT(0.99312619+99.99735956*M222- 0.00000044*M222^2))</f>
        <v>5.12235242235644</v>
      </c>
      <c r="S222" s="26" t="n">
        <f aca="false">2*PI()*(0.827361+1236.853086*M222 - INT(0.827361+1236.853086*M222))</f>
        <v>0.696988098741957</v>
      </c>
      <c r="T222" s="26" t="n">
        <f aca="false">2*PI()*(0.259086+1342.227825*M222 - INT(0.259086+1342.227825*M222))</f>
        <v>3.71989777756804</v>
      </c>
      <c r="U222" s="26" t="n">
        <f aca="false">T222+(P222+412*SIN(2*T222)+541*SIN(R222))/206264.8062</f>
        <v>3.68717529070701</v>
      </c>
      <c r="V222" s="26" t="n">
        <f aca="false">T222-2*S222</f>
        <v>2.32592158008413</v>
      </c>
      <c r="W222" s="25" t="n">
        <f aca="false">-526*SIN(V222)+44*SIN(Q222+V222)-31*SIN(-Q222+V222)-23*SIN(R222+V222)+11*SIN(-R222+V222)-25*SIN(-2*Q222+T222)+21*SIN(-Q222+T222)</f>
        <v>-365.708502787648</v>
      </c>
      <c r="X222" s="26" t="n">
        <f aca="false">2*PI()*(O222+P222/1296000-INT(O222+P222/1296000))</f>
        <v>4.4491103432522</v>
      </c>
      <c r="Y222" s="26" t="n">
        <f aca="false">(18520*SIN(U222)+W222)/206264.8062</f>
        <v>-0.0483651927432151</v>
      </c>
      <c r="Z222" s="26" t="n">
        <f aca="false">Y222*180/PI()</f>
        <v>-2.77112141952298</v>
      </c>
      <c r="AA222" s="26" t="n">
        <f aca="false">COS(Y222)*COS(X222)</f>
        <v>-0.259943281332197</v>
      </c>
      <c r="AB222" s="26" t="n">
        <f aca="false">COS(Y222)*SIN(X222)</f>
        <v>-0.964412837944372</v>
      </c>
      <c r="AC222" s="26" t="n">
        <f aca="false">SIN(Y222)</f>
        <v>-0.0483463390375366</v>
      </c>
      <c r="AD222" s="26" t="n">
        <f aca="false">COS($A$4*(23.4393-46.815*M222/3600))*AB222-SIN($A$4*(23.4393-46.815*M222/3600))*AC222</f>
        <v>-0.865622511604026</v>
      </c>
      <c r="AE222" s="26" t="n">
        <f aca="false">SIN($A$4*(23.4393-46.815*M222/3600))*AB222+COS($A$4*(23.4393-46.815*M222/3600))*AC222</f>
        <v>-0.427933590519122</v>
      </c>
      <c r="AF222" s="26" t="n">
        <f aca="false">SQRT(1-AE222*AE222)</f>
        <v>0.903810180350616</v>
      </c>
      <c r="AG222" s="10" t="n">
        <f aca="false">ATAN(AE222/AF222)/$A$4</f>
        <v>-25.3364919147559</v>
      </c>
      <c r="AH222" s="26" t="n">
        <f aca="false">IF(24*ATAN(AD222/(AA222+AF222))/PI()&gt;0,24*ATAN(AD222/(AA222+AF222))/PI(),24*ATAN(AD222/(AA222+AF222))/PI()+24)</f>
        <v>16.8856786253769</v>
      </c>
      <c r="AI222" s="10" t="n">
        <f aca="false">IF(N222-15*AH222&gt;0,N222-15*AH222,360+N222-15*AH222)</f>
        <v>323.531904588593</v>
      </c>
      <c r="AJ222" s="18" t="n">
        <f aca="false">0.950724+0.051818*COS(Q222)+0.009531*COS(2*S222-Q222)+0.007843*COS(2*S222)+0.002824*COS(2*Q222)+0.000857*COS(2*S222+Q222)+0.000533*COS(2*S222-R222)+0.000401*COS(2*S222-R222-Q222)+0.00032*COS(Q222-R222)-0.000271*COS(S222)</f>
        <v>0.991143777563951</v>
      </c>
      <c r="AK222" s="50" t="n">
        <f aca="false">ASIN(COS($A$4*$G$2)*COS($A$4*AG222)*COS($A$4*AI222)+SIN($A$4*$G$2)*SIN($A$4*AG222))/$A$4</f>
        <v>56.7473212541738</v>
      </c>
      <c r="AL222" s="18" t="n">
        <f aca="false">ASIN((0.9983271+0.0016764*COS($A$4*2*$G$2))*COS($A$4*AK222)*SIN($A$4*AJ222))/$A$4</f>
        <v>0.543180930291773</v>
      </c>
      <c r="AM222" s="18" t="n">
        <f aca="false">AK222-AL222</f>
        <v>56.204140323882</v>
      </c>
      <c r="AN222" s="10" t="n">
        <f aca="false"> IF(280.4664567 + 360007.6982779*M222/10 + 0.03032028*M222^2/100 + M222^3/49931000&lt;0,MOD(280.4664567 + 360007.6982779*M222/10 + 0.03032028*M222^2/100 + M222^3/49931000+360,360),MOD(280.4664567 + 360007.6982779*M222/10 + 0.03032028*M222^2/100 + M222^3/49931000,360))</f>
        <v>216.822866318349</v>
      </c>
      <c r="AO222" s="27" t="n">
        <f aca="false"> AN222 + (1.9146 - 0.004817*M222 - 0.000014*M222^2)*SIN(R222)+ (0.019993 - 0.000101*M222)*SIN(2*R222)+ 0.00029*SIN(3*R222)</f>
        <v>215.053424842523</v>
      </c>
      <c r="AP222" s="18" t="n">
        <f aca="false">ACOS(COS(X222-$A$4*AO222)*COS(Y222))/$A$4</f>
        <v>39.9419927779977</v>
      </c>
      <c r="AQ222" s="25" t="n">
        <f aca="false">180 - AP222 -0.1468*(1-0.0549*SIN(R222))*SIN($A$4*AP222)/(1-0.0167*SIN($A$4*AO222))</f>
        <v>139.959954945457</v>
      </c>
      <c r="AR222" s="25" t="n">
        <f aca="false">SIN($A$4*AI222)</f>
        <v>-0.594375074807173</v>
      </c>
      <c r="AS222" s="25" t="n">
        <f aca="false">COS($A$4*AI222)*SIN($A$4*$G$2) - TAN($A$4*AG222)*COS($A$4*$G$2)</f>
        <v>0.121616870996241</v>
      </c>
      <c r="AT222" s="25" t="n">
        <f aca="false">IF(OR(AND(AR222*AS222&gt;0), AND(AR222&lt;0,AS222&gt;0)), MOD(ATAN2(AS222,AR222)/$A$4+360,360),  ATAN2(AS222,AR222)/$A$4)</f>
        <v>281.563845750602</v>
      </c>
      <c r="AU222" s="29" t="n">
        <f aca="false">(1+SIN($A$4*H222)*SIN($A$4*AJ222))*120*ASIN(0.272481*SIN($A$4*AJ222))/$A$4</f>
        <v>32.8724892393747</v>
      </c>
      <c r="AV222" s="10" t="n">
        <f aca="false">COS(X222)</f>
        <v>-0.260247606544926</v>
      </c>
      <c r="AW222" s="10" t="n">
        <f aca="false">SIN(X222)</f>
        <v>-0.965541911719858</v>
      </c>
      <c r="AX222" s="30" t="n">
        <f aca="false"> 385000.56 + (-20905355*COS(Q222) - 3699111*COS(2*S222-Q222) - 2955968*COS(2*S222) - 569925*COS(2*Q222) + (1-0.002516*M222)*48888*COS(R222) - 3149*COS(2*T222)  +246158*COS(2*S222-2*Q222) -(1-0.002516*M222)*152138*COS(2*S222-R222-Q222) -170733*COS(2*S222+Q222) -(1-0.002516*M222)*204586*COS(2*S222-R222) -(1-0.002516*M222)*129620*COS(R222-Q222)  + 108743*COS(S222) +(1-0.002516*M222)*104755*COS(R222+Q222) +10321*COS(2*S222-2*T222) +79661*COS(Q222-2*T222) -34782*COS(4*S222-Q222) -23210*COS(3*Q222)  -21636*COS(4*S222-2*Q222) +(1-0.002516*M222)*24208*COS(2*S222+R222-Q222) +(1-0.002516*M222)*30824*COS(2*S222+R222) -8379*COS(S222-Q222) -(1-0.002516*M222)*16675*COS(S222+R222)  -(1-0.002516*M222)*12831*COS(2*S222-R222+Q222) -10445*COS(2*S222+2*Q222) -11650*COS(4*S222) +14403*COS(2*S222-3*Q222) -(1-0.002516*M222)*7003*COS(R222-2*Q222)  + (1-0.002516*M222)*10056*COS(2*S222-R222-2*Q222) +6322*COS(S222+Q222) -(1-0.002516*M222)*(1-0.002516*M222)*9884*COS(2*S222-2*R222) +(1-0.002516*M222)*5751*COS(R222+2*Q222) -(1-0.002516*M222)*(1-0.002516*M222)*4950*COS(2*S222-2*R222-Q222)  +4130*COS(2*S222+Q222-2*T222) -(1-0.002516*M222)*3958*COS(4*S222-R222-Q222) +3258*COS(3*S222-Q222) +(1-0.002516*M222)*2616*COS(2*S222+R222+Q222) -(1-0.002516*M222)*1897*COS(4*S222-R222-2*Q222)  -(1-0.002516*M222)*(1-0.002516*M222)*2117*COS(2*R222-Q222) +(1-0.002516*M222)*(1-0.002516*M222)*2354*COS(2*S222+2*R222-Q222) -1423*COS(4*S222+Q222) -1117*COS(4*Q222) -(1-0.002516*M222)*1571*COS(4*S222-R222)  -1739*COS(S222-2*Q222) -4421*COS(2*Q222-2*T222) +(1-0.002516*M222)*(1-0.002516*M222)*1165*COS(2*R222+Q222) +8752*COS(2*S222-Q222-2*T222))/1000</f>
        <v>368828.01019397</v>
      </c>
      <c r="AY222" s="10" t="n">
        <f aca="false">AY221+1/8</f>
        <v>28.5</v>
      </c>
      <c r="AZ222" s="17" t="n">
        <f aca="false">AZ221+1</f>
        <v>221</v>
      </c>
      <c r="BA222" s="32" t="n">
        <f aca="false">ATAN(0.99664719*TAN($A$4*input!$E$2))</f>
        <v>-0.400219206115995</v>
      </c>
      <c r="BB222" s="32" t="n">
        <f aca="false">COS(BA222)</f>
        <v>0.920975608992155</v>
      </c>
      <c r="BC222" s="32" t="n">
        <f aca="false">0.99664719*SIN(BA222)</f>
        <v>-0.388313912533463</v>
      </c>
      <c r="BD222" s="32" t="n">
        <f aca="false">6378.14/AX222</f>
        <v>0.0172929924618406</v>
      </c>
      <c r="BE222" s="33" t="n">
        <f aca="false">MOD(N222-15*AH222,360)</f>
        <v>323.531904588593</v>
      </c>
      <c r="BF222" s="27" t="n">
        <f aca="false">COS($A$4*AG222)*SIN($A$4*BE222)</f>
        <v>-0.537202243557382</v>
      </c>
      <c r="BG222" s="27" t="n">
        <f aca="false">COS($A$4*AG222)*COS($A$4*BE222)-BB222*BD222</f>
        <v>0.71090683833655</v>
      </c>
      <c r="BH222" s="27" t="n">
        <f aca="false">SIN($A$4*AG222)-BC222*BD222</f>
        <v>-0.421218480956853</v>
      </c>
      <c r="BI222" s="46" t="n">
        <f aca="false">SQRT(BF222^2+BG222^2+BH222^2)</f>
        <v>0.985596160694812</v>
      </c>
      <c r="BJ222" s="35" t="n">
        <f aca="false">AX222*BI222</f>
        <v>363515.470803884</v>
      </c>
    </row>
    <row r="223" customFormat="false" ht="15" hidden="false" customHeight="false" outlineLevel="0" collapsed="false">
      <c r="A223" s="20"/>
      <c r="B223" s="20"/>
      <c r="C223" s="15" t="n">
        <f aca="false">MOD(C222+3,24)</f>
        <v>15</v>
      </c>
      <c r="D223" s="17" t="n">
        <v>28</v>
      </c>
      <c r="E223" s="102" t="n">
        <f aca="false">input!$C$2</f>
        <v>10</v>
      </c>
      <c r="F223" s="102" t="n">
        <f aca="false">input!$D$2</f>
        <v>2022</v>
      </c>
      <c r="H223" s="39" t="n">
        <f aca="false">AM223</f>
        <v>83.2204558146547</v>
      </c>
      <c r="I223" s="48" t="n">
        <f aca="false">H223+1.02/(TAN($A$4*(H223+10.3/(H223+5.11)))*60)</f>
        <v>83.2224417078392</v>
      </c>
      <c r="J223" s="39" t="n">
        <f aca="false">100*(1+COS($A$4*AQ223))/2</f>
        <v>12.6740245762801</v>
      </c>
      <c r="K223" s="48" t="n">
        <f aca="false">IF(AI223&gt;180,AT223-180,AT223+180)</f>
        <v>245.049957595076</v>
      </c>
      <c r="L223" s="10" t="n">
        <f aca="false">L222+1/8</f>
        <v>2459881.125</v>
      </c>
      <c r="M223" s="49" t="n">
        <f aca="false">(L223-2451545)/36525</f>
        <v>0.228230663928816</v>
      </c>
      <c r="N223" s="15" t="n">
        <f aca="false">MOD(280.46061837+360.98564736629*(L223-2451545)+0.000387933*M223^2-M223^3/38710000+$G$4,360)</f>
        <v>261.940289890859</v>
      </c>
      <c r="O223" s="18" t="n">
        <f aca="false">0.60643382+1336.85522467*M223 - 0.00000313*M223^2 - INT(0.60643382+1336.85522467*M223 - 0.00000313*M223^2)</f>
        <v>0.71778916010112</v>
      </c>
      <c r="P223" s="15" t="n">
        <f aca="false">22640*SIN(Q223)-4586*SIN(Q223-2*S223)+2370*SIN(2*S223)+769*SIN(2*Q223)-668*SIN(R223)-412*SIN(2*T223)-212*SIN(2*Q223-2*S223)-206*SIN(Q223+R223-2*S223)+192*SIN(Q223+2*S223)-165*SIN(R223-2*S223)-125*SIN(S223)-110*SIN(Q223+R223)+148*SIN(Q223-R223)-55*SIN(2*T223-2*S223)</f>
        <v>-6121.66529139997</v>
      </c>
      <c r="Q223" s="18" t="n">
        <f aca="false">2*PI()*(0.374897+1325.55241*M223 - INT(0.374897+1325.55241*M223))</f>
        <v>5.69635846131706</v>
      </c>
      <c r="R223" s="26" t="n">
        <f aca="false">2*PI()*(0.99312619+99.99735956*M223 - 0.00000044*M223^2 - INT(0.99312619+99.99735956*M223- 0.00000044*M223^2))</f>
        <v>5.12450266855455</v>
      </c>
      <c r="S223" s="26" t="n">
        <f aca="false">2*PI()*(0.827361+1236.853086*M223 - INT(0.827361+1236.853086*M223))</f>
        <v>0.72358418750688</v>
      </c>
      <c r="T223" s="26" t="n">
        <f aca="false">2*PI()*(0.259086+1342.227825*M223 - INT(0.259086+1342.227825*M223))</f>
        <v>3.7487597424858</v>
      </c>
      <c r="U223" s="26" t="n">
        <f aca="false">T223+(P223+412*SIN(2*T223)+541*SIN(R223))/206264.8062</f>
        <v>3.71854969210814</v>
      </c>
      <c r="V223" s="26" t="n">
        <f aca="false">T223-2*S223</f>
        <v>2.30159136747204</v>
      </c>
      <c r="W223" s="25" t="n">
        <f aca="false">-526*SIN(V223)+44*SIN(Q223+V223)-31*SIN(-Q223+V223)-23*SIN(R223+V223)+11*SIN(-R223+V223)-25*SIN(-2*Q223+T223)+21*SIN(-Q223+T223)</f>
        <v>-375.351767560642</v>
      </c>
      <c r="X223" s="26" t="n">
        <f aca="false">2*PI()*(O223+P223/1296000-INT(O223+P223/1296000))</f>
        <v>4.48032363355569</v>
      </c>
      <c r="Y223" s="26" t="n">
        <f aca="false">(18520*SIN(U223)+W223)/206264.8062</f>
        <v>-0.0507966868388781</v>
      </c>
      <c r="Z223" s="26" t="n">
        <f aca="false">Y223*180/PI()</f>
        <v>-2.91043576911545</v>
      </c>
      <c r="AA223" s="26" t="n">
        <f aca="false">COS(Y223)*COS(X223)</f>
        <v>-0.229691339065188</v>
      </c>
      <c r="AB223" s="26" t="n">
        <f aca="false">COS(Y223)*SIN(X223)</f>
        <v>-0.971938168775723</v>
      </c>
      <c r="AC223" s="26" t="n">
        <f aca="false">SIN(Y223)</f>
        <v>-0.0507748445131525</v>
      </c>
      <c r="AD223" s="26" t="n">
        <f aca="false">COS($A$4*(23.4393-46.815*M223/3600))*AB223-SIN($A$4*(23.4393-46.815*M223/3600))*AC223</f>
        <v>-0.871561133643123</v>
      </c>
      <c r="AE223" s="26" t="n">
        <f aca="false">SIN($A$4*(23.4393-46.815*M223/3600))*AB223+COS($A$4*(23.4393-46.815*M223/3600))*AC223</f>
        <v>-0.433154798058563</v>
      </c>
      <c r="AF223" s="26" t="n">
        <f aca="false">SQRT(1-AE223*AE223)</f>
        <v>0.90131954428984</v>
      </c>
      <c r="AG223" s="10" t="n">
        <f aca="false">ATAN(AE223/AF223)/$A$4</f>
        <v>-25.6679388103892</v>
      </c>
      <c r="AH223" s="26" t="n">
        <f aca="false">IF(24*ATAN(AD223/(AA223+AF223))/PI()&gt;0,24*ATAN(AD223/(AA223+AF223))/PI(),24*ATAN(AD223/(AA223+AF223))/PI()+24)</f>
        <v>17.0157304509899</v>
      </c>
      <c r="AI223" s="10" t="n">
        <f aca="false">IF(N223-15*AH223&gt;0,N223-15*AH223,360+N223-15*AH223)</f>
        <v>6.70433312601142</v>
      </c>
      <c r="AJ223" s="18" t="n">
        <f aca="false">0.950724+0.051818*COS(Q223)+0.009531*COS(2*S223-Q223)+0.007843*COS(2*S223)+0.002824*COS(2*Q223)+0.000857*COS(2*S223+Q223)+0.000533*COS(2*S223-R223)+0.000401*COS(2*S223-R223-Q223)+0.00032*COS(Q223-R223)-0.000271*COS(S223)</f>
        <v>0.991439915717756</v>
      </c>
      <c r="AK223" s="50" t="n">
        <f aca="false">ASIN(COS($A$4*$G$2)*COS($A$4*AG223)*COS($A$4*AI223)+SIN($A$4*$G$2)*SIN($A$4*AG223))/$A$4</f>
        <v>83.3354543529951</v>
      </c>
      <c r="AL223" s="18" t="n">
        <f aca="false">ASIN((0.9983271+0.0016764*COS($A$4*2*$G$2))*COS($A$4*AK223)*SIN($A$4*AJ223))/$A$4</f>
        <v>0.114998538340442</v>
      </c>
      <c r="AM223" s="18" t="n">
        <f aca="false">AK223-AL223</f>
        <v>83.2204558146547</v>
      </c>
      <c r="AN223" s="10" t="n">
        <f aca="false"> IF(280.4664567 + 360007.6982779*M223/10 + 0.03032028*M223^2/100 + M223^3/49931000&lt;0,MOD(280.4664567 + 360007.6982779*M223/10 + 0.03032028*M223^2/100 + M223^3/49931000+360,360),MOD(280.4664567 + 360007.6982779*M223/10 + 0.03032028*M223^2/100 + M223^3/49931000,360))</f>
        <v>216.946072238836</v>
      </c>
      <c r="AO223" s="27" t="n">
        <f aca="false"> AN223 + (1.9146 - 0.004817*M223 - 0.000014*M223^2)*SIN(R223)+ (0.019993 - 0.000101*M223)*SIN(2*R223)+ 0.00029*SIN(3*R223)</f>
        <v>215.178214548598</v>
      </c>
      <c r="AP223" s="18" t="n">
        <f aca="false">ACOS(COS(X223-$A$4*AO223)*COS(Y223))/$A$4</f>
        <v>41.6088110397504</v>
      </c>
      <c r="AQ223" s="25" t="n">
        <f aca="false">180 - AP223 -0.1468*(1-0.0549*SIN(R223))*SIN($A$4*AP223)/(1-0.0167*SIN($A$4*AO223))</f>
        <v>138.289779738833</v>
      </c>
      <c r="AR223" s="25" t="n">
        <f aca="false">SIN($A$4*AI223)</f>
        <v>0.116745847595972</v>
      </c>
      <c r="AS223" s="25" t="n">
        <f aca="false">COS($A$4*AI223)*SIN($A$4*$G$2) - TAN($A$4*AG223)*COS($A$4*$G$2)</f>
        <v>0.0543156052784428</v>
      </c>
      <c r="AT223" s="25" t="n">
        <f aca="false">IF(OR(AND(AR223*AS223&gt;0), AND(AR223&lt;0,AS223&gt;0)), MOD(ATAN2(AS223,AR223)/$A$4+360,360),  ATAN2(AS223,AR223)/$A$4)</f>
        <v>65.0499575950755</v>
      </c>
      <c r="AU223" s="29" t="n">
        <f aca="false">(1+SIN($A$4*H223)*SIN($A$4*AJ223))*120*ASIN(0.272481*SIN($A$4*AJ223))/$A$4</f>
        <v>32.9733057183183</v>
      </c>
      <c r="AV223" s="10" t="n">
        <f aca="false">COS(X223)</f>
        <v>-0.229987994670093</v>
      </c>
      <c r="AW223" s="10" t="n">
        <f aca="false">SIN(X223)</f>
        <v>-0.973193466021854</v>
      </c>
      <c r="AX223" s="30" t="n">
        <f aca="false"> 385000.56 + (-20905355*COS(Q223) - 3699111*COS(2*S223-Q223) - 2955968*COS(2*S223) - 569925*COS(2*Q223) + (1-0.002516*M223)*48888*COS(R223) - 3149*COS(2*T223)  +246158*COS(2*S223-2*Q223) -(1-0.002516*M223)*152138*COS(2*S223-R223-Q223) -170733*COS(2*S223+Q223) -(1-0.002516*M223)*204586*COS(2*S223-R223) -(1-0.002516*M223)*129620*COS(R223-Q223)  + 108743*COS(S223) +(1-0.002516*M223)*104755*COS(R223+Q223) +10321*COS(2*S223-2*T223) +79661*COS(Q223-2*T223) -34782*COS(4*S223-Q223) -23210*COS(3*Q223)  -21636*COS(4*S223-2*Q223) +(1-0.002516*M223)*24208*COS(2*S223+R223-Q223) +(1-0.002516*M223)*30824*COS(2*S223+R223) -8379*COS(S223-Q223) -(1-0.002516*M223)*16675*COS(S223+R223)  -(1-0.002516*M223)*12831*COS(2*S223-R223+Q223) -10445*COS(2*S223+2*Q223) -11650*COS(4*S223) +14403*COS(2*S223-3*Q223) -(1-0.002516*M223)*7003*COS(R223-2*Q223)  + (1-0.002516*M223)*10056*COS(2*S223-R223-2*Q223) +6322*COS(S223+Q223) -(1-0.002516*M223)*(1-0.002516*M223)*9884*COS(2*S223-2*R223) +(1-0.002516*M223)*5751*COS(R223+2*Q223) -(1-0.002516*M223)*(1-0.002516*M223)*4950*COS(2*S223-2*R223-Q223)  +4130*COS(2*S223+Q223-2*T223) -(1-0.002516*M223)*3958*COS(4*S223-R223-Q223) +3258*COS(3*S223-Q223) +(1-0.002516*M223)*2616*COS(2*S223+R223+Q223) -(1-0.002516*M223)*1897*COS(4*S223-R223-2*Q223)  -(1-0.002516*M223)*(1-0.002516*M223)*2117*COS(2*R223-Q223) +(1-0.002516*M223)*(1-0.002516*M223)*2354*COS(2*S223+2*R223-Q223) -1423*COS(4*S223+Q223) -1117*COS(4*Q223) -(1-0.002516*M223)*1571*COS(4*S223-R223)  -1739*COS(S223-2*Q223) -4421*COS(2*Q223-2*T223) +(1-0.002516*M223)*(1-0.002516*M223)*1165*COS(2*R223+Q223) +8752*COS(2*S223-Q223-2*T223))/1000</f>
        <v>368711.950244944</v>
      </c>
      <c r="AY223" s="10" t="n">
        <f aca="false">AY222+1/8</f>
        <v>28.625</v>
      </c>
      <c r="AZ223" s="17" t="n">
        <f aca="false">AZ222+1</f>
        <v>222</v>
      </c>
      <c r="BA223" s="32" t="n">
        <f aca="false">ATAN(0.99664719*TAN($A$4*input!$E$2))</f>
        <v>-0.400219206115995</v>
      </c>
      <c r="BB223" s="32" t="n">
        <f aca="false">COS(BA223)</f>
        <v>0.920975608992155</v>
      </c>
      <c r="BC223" s="32" t="n">
        <f aca="false">0.99664719*SIN(BA223)</f>
        <v>-0.388313912533463</v>
      </c>
      <c r="BD223" s="32" t="n">
        <f aca="false">6378.14/AX223</f>
        <v>0.0172984357999865</v>
      </c>
      <c r="BE223" s="33" t="n">
        <f aca="false">MOD(N223-15*AH223,360)</f>
        <v>6.70433312601142</v>
      </c>
      <c r="BF223" s="27" t="n">
        <f aca="false">COS($A$4*AG223)*SIN($A$4*BE223)</f>
        <v>0.105225314152933</v>
      </c>
      <c r="BG223" s="27" t="n">
        <f aca="false">COS($A$4*AG223)*COS($A$4*BE223)-BB223*BD223</f>
        <v>0.879224724450431</v>
      </c>
      <c r="BH223" s="27" t="n">
        <f aca="false">SIN($A$4*AG223)-BC223*BD223</f>
        <v>-0.426437574772361</v>
      </c>
      <c r="BI223" s="46" t="n">
        <f aca="false">SQRT(BF223^2+BG223^2+BH223^2)</f>
        <v>0.982831362951576</v>
      </c>
      <c r="BJ223" s="35" t="n">
        <f aca="false">AX223*BI223</f>
        <v>362381.668595772</v>
      </c>
    </row>
    <row r="224" customFormat="false" ht="15" hidden="false" customHeight="false" outlineLevel="0" collapsed="false">
      <c r="A224" s="20"/>
      <c r="B224" s="20"/>
      <c r="C224" s="15" t="n">
        <f aca="false">MOD(C223+3,24)</f>
        <v>18</v>
      </c>
      <c r="D224" s="17" t="n">
        <v>28</v>
      </c>
      <c r="E224" s="102" t="n">
        <f aca="false">input!$C$2</f>
        <v>10</v>
      </c>
      <c r="F224" s="102" t="n">
        <f aca="false">input!$D$2</f>
        <v>2022</v>
      </c>
      <c r="H224" s="39" t="n">
        <f aca="false">AM224</f>
        <v>44.0884075241388</v>
      </c>
      <c r="I224" s="48" t="n">
        <f aca="false">H224+1.02/(TAN($A$4*(H224+10.3/(H224+5.11)))*60)</f>
        <v>44.1058294315969</v>
      </c>
      <c r="J224" s="39" t="n">
        <f aca="false">100*(1+COS($A$4*AQ224))/2</f>
        <v>13.659777255787</v>
      </c>
      <c r="K224" s="48" t="n">
        <f aca="false">IF(AI224&gt;180,AT224-180,AT224+180)</f>
        <v>255.58072973614</v>
      </c>
      <c r="L224" s="10" t="n">
        <f aca="false">L223+1/8</f>
        <v>2459881.25</v>
      </c>
      <c r="M224" s="49" t="n">
        <f aca="false">(L224-2451545)/36525</f>
        <v>0.2282340862423</v>
      </c>
      <c r="N224" s="15" t="n">
        <f aca="false">MOD(280.46061837+360.98564736629*(L224-2451545)+0.000387933*M224^2-M224^3/38710000+$G$4,360)</f>
        <v>307.063495812472</v>
      </c>
      <c r="O224" s="18" t="n">
        <f aca="false">0.60643382+1336.85522467*M224 - 0.00000313*M224^2 - INT(0.60643382+1336.85522467*M224 - 0.00000313*M224^2)</f>
        <v>0.722364297757679</v>
      </c>
      <c r="P224" s="15" t="n">
        <f aca="false">22640*SIN(Q224)-4586*SIN(Q224-2*S224)+2370*SIN(2*S224)+769*SIN(2*Q224)-668*SIN(R224)-412*SIN(2*T224)-212*SIN(2*Q224-2*S224)-206*SIN(Q224+R224-2*S224)+192*SIN(Q224+2*S224)-165*SIN(R224-2*S224)-125*SIN(S224)-110*SIN(Q224+R224)+148*SIN(Q224-R224)-55*SIN(2*T224-2*S224)</f>
        <v>-5609.5080291992</v>
      </c>
      <c r="Q224" s="18" t="n">
        <f aca="false">2*PI()*(0.374897+1325.55241*M224 - INT(0.374897+1325.55241*M224))</f>
        <v>5.72486185428886</v>
      </c>
      <c r="R224" s="26" t="n">
        <f aca="false">2*PI()*(0.99312619+99.99735956*M224 - 0.00000044*M224^2 - INT(0.99312619+99.99735956*M224- 0.00000044*M224^2))</f>
        <v>5.12665291475263</v>
      </c>
      <c r="S224" s="26" t="n">
        <f aca="false">2*PI()*(0.827361+1236.853086*M224 - INT(0.827361+1236.853086*M224))</f>
        <v>0.750180276271445</v>
      </c>
      <c r="T224" s="26" t="n">
        <f aca="false">2*PI()*(0.259086+1342.227825*M224 - INT(0.259086+1342.227825*M224))</f>
        <v>3.7776217074032</v>
      </c>
      <c r="U224" s="26" t="n">
        <f aca="false">T224+(P224+412*SIN(2*T224)+541*SIN(R224))/206264.8062</f>
        <v>3.74993402506364</v>
      </c>
      <c r="V224" s="26" t="n">
        <f aca="false">T224-2*S224</f>
        <v>2.27726115486031</v>
      </c>
      <c r="W224" s="25" t="n">
        <f aca="false">-526*SIN(V224)+44*SIN(Q224+V224)-31*SIN(-Q224+V224)-23*SIN(R224+V224)+11*SIN(-R224+V224)-25*SIN(-2*Q224+T224)+21*SIN(-Q224+T224)</f>
        <v>-384.748925680842</v>
      </c>
      <c r="X224" s="26" t="n">
        <f aca="false">2*PI()*(O224+P224/1296000-INT(O224+P224/1296000))</f>
        <v>4.51155307973365</v>
      </c>
      <c r="Y224" s="26" t="n">
        <f aca="false">(18520*SIN(U224)+W224)/206264.8062</f>
        <v>-0.0531795128922236</v>
      </c>
      <c r="Z224" s="26" t="n">
        <f aca="false">Y224*180/PI()</f>
        <v>-3.04696164528596</v>
      </c>
      <c r="AA224" s="26" t="n">
        <f aca="false">COS(Y224)*COS(X224)</f>
        <v>-0.199206483272648</v>
      </c>
      <c r="AB224" s="26" t="n">
        <f aca="false">COS(Y224)*SIN(X224)</f>
        <v>-0.978514885630868</v>
      </c>
      <c r="AC224" s="26" t="n">
        <f aca="false">SIN(Y224)</f>
        <v>-0.0531544506222531</v>
      </c>
      <c r="AD224" s="26" t="n">
        <f aca="false">COS($A$4*(23.4393-46.815*M224/3600))*AB224-SIN($A$4*(23.4393-46.815*M224/3600))*AC224</f>
        <v>-0.876648848630348</v>
      </c>
      <c r="AE224" s="26" t="n">
        <f aca="false">SIN($A$4*(23.4393-46.815*M224/3600))*AB224+COS($A$4*(23.4393-46.815*M224/3600))*AC224</f>
        <v>-0.437953848273114</v>
      </c>
      <c r="AF224" s="26" t="n">
        <f aca="false">SQRT(1-AE224*AE224)</f>
        <v>0.89899745649405</v>
      </c>
      <c r="AG224" s="10" t="n">
        <f aca="false">ATAN(AE224/AF224)/$A$4</f>
        <v>-25.9734013167876</v>
      </c>
      <c r="AH224" s="26" t="n">
        <f aca="false">IF(24*ATAN(AD224/(AA224+AF224))/PI()&gt;0,24*ATAN(AD224/(AA224+AF224))/PI(),24*ATAN(AD224/(AA224+AF224))/PI()+24)</f>
        <v>17.1465143950733</v>
      </c>
      <c r="AI224" s="10" t="n">
        <f aca="false">IF(N224-15*AH224&gt;0,N224-15*AH224,360+N224-15*AH224)</f>
        <v>49.8657798863725</v>
      </c>
      <c r="AJ224" s="18" t="n">
        <f aca="false">0.950724+0.051818*COS(Q224)+0.009531*COS(2*S224-Q224)+0.007843*COS(2*S224)+0.002824*COS(2*Q224)+0.000857*COS(2*S224+Q224)+0.000533*COS(2*S224-R224)+0.000401*COS(2*S224-R224-Q224)+0.00032*COS(Q224-R224)-0.000271*COS(S224)</f>
        <v>0.991694937054756</v>
      </c>
      <c r="AK224" s="50" t="n">
        <f aca="false">ASIN(COS($A$4*$G$2)*COS($A$4*AG224)*COS($A$4*AI224)+SIN($A$4*$G$2)*SIN($A$4*AG224))/$A$4</f>
        <v>44.7918098762025</v>
      </c>
      <c r="AL224" s="18" t="n">
        <f aca="false">ASIN((0.9983271+0.0016764*COS($A$4*2*$G$2))*COS($A$4*AK224)*SIN($A$4*AJ224))/$A$4</f>
        <v>0.703402352063776</v>
      </c>
      <c r="AM224" s="18" t="n">
        <f aca="false">AK224-AL224</f>
        <v>44.0884075241388</v>
      </c>
      <c r="AN224" s="10" t="n">
        <f aca="false"> IF(280.4664567 + 360007.6982779*M224/10 + 0.03032028*M224^2/100 + M224^3/49931000&lt;0,MOD(280.4664567 + 360007.6982779*M224/10 + 0.03032028*M224^2/100 + M224^3/49931000+360,360),MOD(280.4664567 + 360007.6982779*M224/10 + 0.03032028*M224^2/100 + M224^3/49931000,360))</f>
        <v>217.069278159321</v>
      </c>
      <c r="AO224" s="27" t="n">
        <f aca="false"> AN224 + (1.9146 - 0.004817*M224 - 0.000014*M224^2)*SIN(R224)+ (0.019993 - 0.000101*M224)*SIN(2*R224)+ 0.00029*SIN(3*R224)</f>
        <v>215.303012628236</v>
      </c>
      <c r="AP224" s="18" t="n">
        <f aca="false">ACOS(COS(X224-$A$4*AO224)*COS(Y224))/$A$4</f>
        <v>43.2761542248408</v>
      </c>
      <c r="AQ224" s="25" t="n">
        <f aca="false">180 - AP224 -0.1468*(1-0.0549*SIN(R224))*SIN($A$4*AP224)/(1-0.0167*SIN($A$4*AO224))</f>
        <v>136.619164920509</v>
      </c>
      <c r="AR224" s="25" t="n">
        <f aca="false">SIN($A$4*AI224)</f>
        <v>0.764536559322022</v>
      </c>
      <c r="AS224" s="25" t="n">
        <f aca="false">COS($A$4*AI224)*SIN($A$4*$G$2) - TAN($A$4*AG224)*COS($A$4*$G$2)</f>
        <v>0.196573735664602</v>
      </c>
      <c r="AT224" s="25" t="n">
        <f aca="false">IF(OR(AND(AR224*AS224&gt;0), AND(AR224&lt;0,AS224&gt;0)), MOD(ATAN2(AS224,AR224)/$A$4+360,360),  ATAN2(AS224,AR224)/$A$4)</f>
        <v>75.5807297361399</v>
      </c>
      <c r="AU224" s="29" t="n">
        <f aca="false">(1+SIN($A$4*H224)*SIN($A$4*AJ224))*120*ASIN(0.272481*SIN($A$4*AJ224))/$A$4</f>
        <v>32.8151217286672</v>
      </c>
      <c r="AV224" s="10" t="n">
        <f aca="false">COS(X224)</f>
        <v>-0.199488499582039</v>
      </c>
      <c r="AW224" s="10" t="n">
        <f aca="false">SIN(X224)</f>
        <v>-0.979900167636738</v>
      </c>
      <c r="AX224" s="30" t="n">
        <f aca="false"> 385000.56 + (-20905355*COS(Q224) - 3699111*COS(2*S224-Q224) - 2955968*COS(2*S224) - 569925*COS(2*Q224) + (1-0.002516*M224)*48888*COS(R224) - 3149*COS(2*T224)  +246158*COS(2*S224-2*Q224) -(1-0.002516*M224)*152138*COS(2*S224-R224-Q224) -170733*COS(2*S224+Q224) -(1-0.002516*M224)*204586*COS(2*S224-R224) -(1-0.002516*M224)*129620*COS(R224-Q224)  + 108743*COS(S224) +(1-0.002516*M224)*104755*COS(R224+Q224) +10321*COS(2*S224-2*T224) +79661*COS(Q224-2*T224) -34782*COS(4*S224-Q224) -23210*COS(3*Q224)  -21636*COS(4*S224-2*Q224) +(1-0.002516*M224)*24208*COS(2*S224+R224-Q224) +(1-0.002516*M224)*30824*COS(2*S224+R224) -8379*COS(S224-Q224) -(1-0.002516*M224)*16675*COS(S224+R224)  -(1-0.002516*M224)*12831*COS(2*S224-R224+Q224) -10445*COS(2*S224+2*Q224) -11650*COS(4*S224) +14403*COS(2*S224-3*Q224) -(1-0.002516*M224)*7003*COS(R224-2*Q224)  + (1-0.002516*M224)*10056*COS(2*S224-R224-2*Q224) +6322*COS(S224+Q224) -(1-0.002516*M224)*(1-0.002516*M224)*9884*COS(2*S224-2*R224) +(1-0.002516*M224)*5751*COS(R224+2*Q224) -(1-0.002516*M224)*(1-0.002516*M224)*4950*COS(2*S224-2*R224-Q224)  +4130*COS(2*S224+Q224-2*T224) -(1-0.002516*M224)*3958*COS(4*S224-R224-Q224) +3258*COS(3*S224-Q224) +(1-0.002516*M224)*2616*COS(2*S224+R224+Q224) -(1-0.002516*M224)*1897*COS(4*S224-R224-2*Q224)  -(1-0.002516*M224)*(1-0.002516*M224)*2117*COS(2*R224-Q224) +(1-0.002516*M224)*(1-0.002516*M224)*2354*COS(2*S224+2*R224-Q224) -1423*COS(4*S224+Q224) -1117*COS(4*Q224) -(1-0.002516*M224)*1571*COS(4*S224-R224)  -1739*COS(S224-2*Q224) -4421*COS(2*Q224-2*T224) +(1-0.002516*M224)*(1-0.002516*M224)*1165*COS(2*R224+Q224) +8752*COS(2*S224-Q224-2*T224))/1000</f>
        <v>368610.598529032</v>
      </c>
      <c r="AY224" s="10" t="n">
        <f aca="false">AY223+1/8</f>
        <v>28.75</v>
      </c>
      <c r="AZ224" s="17" t="n">
        <f aca="false">AZ223+1</f>
        <v>223</v>
      </c>
      <c r="BA224" s="32" t="n">
        <f aca="false">ATAN(0.99664719*TAN($A$4*input!$E$2))</f>
        <v>-0.400219206115995</v>
      </c>
      <c r="BB224" s="32" t="n">
        <f aca="false">COS(BA224)</f>
        <v>0.920975608992155</v>
      </c>
      <c r="BC224" s="32" t="n">
        <f aca="false">0.99664719*SIN(BA224)</f>
        <v>-0.388313912533463</v>
      </c>
      <c r="BD224" s="32" t="n">
        <f aca="false">6378.14/AX224</f>
        <v>0.0173031921096476</v>
      </c>
      <c r="BE224" s="33" t="n">
        <f aca="false">MOD(N224-15*AH224,360)</f>
        <v>49.8657798863725</v>
      </c>
      <c r="BF224" s="27" t="n">
        <f aca="false">COS($A$4*AG224)*SIN($A$4*BE224)</f>
        <v>0.68731642222721</v>
      </c>
      <c r="BG224" s="27" t="n">
        <f aca="false">COS($A$4*AG224)*COS($A$4*BE224)-BB224*BD224</f>
        <v>0.563540292505206</v>
      </c>
      <c r="BH224" s="27" t="n">
        <f aca="false">SIN($A$4*AG224)-BC224*BD224</f>
        <v>-0.431234778045698</v>
      </c>
      <c r="BI224" s="46" t="n">
        <f aca="false">SQRT(BF224^2+BG224^2+BH224^2)</f>
        <v>0.987899265783809</v>
      </c>
      <c r="BJ224" s="35" t="n">
        <f aca="false">AX224*BI224</f>
        <v>364150.139646961</v>
      </c>
    </row>
    <row r="225" customFormat="false" ht="15" hidden="false" customHeight="false" outlineLevel="0" collapsed="false">
      <c r="A225" s="20"/>
      <c r="B225" s="20"/>
      <c r="C225" s="15" t="n">
        <f aca="false">MOD(C224+3,24)</f>
        <v>21</v>
      </c>
      <c r="D225" s="17" t="n">
        <v>28</v>
      </c>
      <c r="E225" s="102" t="n">
        <f aca="false">input!$C$2</f>
        <v>10</v>
      </c>
      <c r="F225" s="102" t="n">
        <f aca="false">input!$D$2</f>
        <v>2022</v>
      </c>
      <c r="H225" s="39" t="n">
        <f aca="false">AM225</f>
        <v>6.45057463934762</v>
      </c>
      <c r="I225" s="48" t="n">
        <f aca="false">H225+1.02/(TAN($A$4*(H225+10.3/(H225+5.11)))*60)</f>
        <v>6.58252142344807</v>
      </c>
      <c r="J225" s="39" t="n">
        <f aca="false">100*(1+COS($A$4*AQ225))/2</f>
        <v>14.6765933252265</v>
      </c>
      <c r="K225" s="48" t="n">
        <f aca="false">IF(AI225&gt;180,AT225-180,AT225+180)</f>
        <v>244.582283376062</v>
      </c>
      <c r="L225" s="10" t="n">
        <f aca="false">L224+1/8</f>
        <v>2459881.375</v>
      </c>
      <c r="M225" s="49" t="n">
        <f aca="false">(L225-2451545)/36525</f>
        <v>0.228237508555784</v>
      </c>
      <c r="N225" s="15" t="n">
        <f aca="false">MOD(280.46061837+360.98564736629*(L225-2451545)+0.000387933*M225^2-M225^3/38710000+$G$4,360)</f>
        <v>352.186701733619</v>
      </c>
      <c r="O225" s="18" t="n">
        <f aca="false">0.60643382+1336.85522467*M225 - 0.00000313*M225^2 - INT(0.60643382+1336.85522467*M225 - 0.00000313*M225^2)</f>
        <v>0.726939435414181</v>
      </c>
      <c r="P225" s="15" t="n">
        <f aca="false">22640*SIN(Q225)-4586*SIN(Q225-2*S225)+2370*SIN(2*S225)+769*SIN(2*Q225)-668*SIN(R225)-412*SIN(2*T225)-212*SIN(2*Q225-2*S225)-206*SIN(Q225+R225-2*S225)+192*SIN(Q225+2*S225)-165*SIN(R225-2*S225)-125*SIN(S225)-110*SIN(Q225+R225)+148*SIN(Q225-R225)-55*SIN(2*T225-2*S225)</f>
        <v>-5094.53971313025</v>
      </c>
      <c r="Q225" s="18" t="n">
        <f aca="false">2*PI()*(0.374897+1325.55241*M225 - INT(0.374897+1325.55241*M225))</f>
        <v>5.75336524726066</v>
      </c>
      <c r="R225" s="26" t="n">
        <f aca="false">2*PI()*(0.99312619+99.99735956*M225 - 0.00000044*M225^2 - INT(0.99312619+99.99735956*M225- 0.00000044*M225^2))</f>
        <v>5.12880316095071</v>
      </c>
      <c r="S225" s="26" t="n">
        <f aca="false">2*PI()*(0.827361+1236.853086*M225 - INT(0.827361+1236.853086*M225))</f>
        <v>0.776776365036368</v>
      </c>
      <c r="T225" s="26" t="n">
        <f aca="false">2*PI()*(0.259086+1342.227825*M225 - INT(0.259086+1342.227825*M225))</f>
        <v>3.80648367232096</v>
      </c>
      <c r="U225" s="26" t="n">
        <f aca="false">T225+(P225+412*SIN(2*T225)+541*SIN(R225))/206264.8062</f>
        <v>3.78132563849516</v>
      </c>
      <c r="V225" s="26" t="n">
        <f aca="false">T225-2*S225</f>
        <v>2.25293094224823</v>
      </c>
      <c r="W225" s="25" t="n">
        <f aca="false">-526*SIN(V225)+44*SIN(Q225+V225)-31*SIN(-Q225+V225)-23*SIN(R225+V225)+11*SIN(-R225+V225)-25*SIN(-2*Q225+T225)+21*SIN(-Q225+T225)</f>
        <v>-393.891006708358</v>
      </c>
      <c r="X225" s="26" t="n">
        <f aca="false">2*PI()*(O225+P225/1296000-INT(O225+P225/1296000))</f>
        <v>4.54279615428499</v>
      </c>
      <c r="Y225" s="26" t="n">
        <f aca="false">(18520*SIN(U225)+W225)/206264.8062</f>
        <v>-0.0555110876064557</v>
      </c>
      <c r="Z225" s="26" t="n">
        <f aca="false">Y225*180/PI()</f>
        <v>-3.18055103603089</v>
      </c>
      <c r="AA225" s="26" t="n">
        <f aca="false">COS(Y225)*COS(X225)</f>
        <v>-0.168521049674189</v>
      </c>
      <c r="AB225" s="26" t="n">
        <f aca="false">COS(Y225)*SIN(X225)</f>
        <v>-0.98413532547309</v>
      </c>
      <c r="AC225" s="26" t="n">
        <f aca="false">SIN(Y225)</f>
        <v>-0.0554825826064792</v>
      </c>
      <c r="AD225" s="26" t="n">
        <f aca="false">COS($A$4*(23.4393-46.815*M225/3600))*AB225-SIN($A$4*(23.4393-46.815*M225/3600))*AC225</f>
        <v>-0.880879649766619</v>
      </c>
      <c r="AE225" s="26" t="n">
        <f aca="false">SIN($A$4*(23.4393-46.815*M225/3600))*AB225+COS($A$4*(23.4393-46.815*M225/3600))*AC225</f>
        <v>-0.442325330999423</v>
      </c>
      <c r="AF225" s="26" t="n">
        <f aca="false">SQRT(1-AE225*AE225)</f>
        <v>0.896854671368919</v>
      </c>
      <c r="AG225" s="10" t="n">
        <f aca="false">ATAN(AE225/AF225)/$A$4</f>
        <v>-26.2523407816158</v>
      </c>
      <c r="AH225" s="26" t="n">
        <f aca="false">IF(24*ATAN(AD225/(AA225+AF225))/PI()&gt;0,24*ATAN(AD225/(AA225+AF225))/PI(),24*ATAN(AD225/(AA225+AF225))/PI()+24)</f>
        <v>17.2779740207513</v>
      </c>
      <c r="AI225" s="10" t="n">
        <f aca="false">IF(N225-15*AH225&gt;0,N225-15*AH225,360+N225-15*AH225)</f>
        <v>93.0170914223493</v>
      </c>
      <c r="AJ225" s="18" t="n">
        <f aca="false">0.950724+0.051818*COS(Q225)+0.009531*COS(2*S225-Q225)+0.007843*COS(2*S225)+0.002824*COS(2*Q225)+0.000857*COS(2*S225+Q225)+0.000533*COS(2*S225-R225)+0.000401*COS(2*S225-R225-Q225)+0.00032*COS(Q225-R225)-0.000271*COS(S225)</f>
        <v>0.991909417327124</v>
      </c>
      <c r="AK225" s="50" t="n">
        <f aca="false">ASIN(COS($A$4*$G$2)*COS($A$4*AG225)*COS($A$4*AI225)+SIN($A$4*$G$2)*SIN($A$4*AG225))/$A$4</f>
        <v>7.43364651761043</v>
      </c>
      <c r="AL225" s="18" t="n">
        <f aca="false">ASIN((0.9983271+0.0016764*COS($A$4*2*$G$2))*COS($A$4*AK225)*SIN($A$4*AJ225))/$A$4</f>
        <v>0.983071878262811</v>
      </c>
      <c r="AM225" s="18" t="n">
        <f aca="false">AK225-AL225</f>
        <v>6.45057463934762</v>
      </c>
      <c r="AN225" s="10" t="n">
        <f aca="false"> IF(280.4664567 + 360007.6982779*M225/10 + 0.03032028*M225^2/100 + M225^3/49931000&lt;0,MOD(280.4664567 + 360007.6982779*M225/10 + 0.03032028*M225^2/100 + M225^3/49931000+360,360),MOD(280.4664567 + 360007.6982779*M225/10 + 0.03032028*M225^2/100 + M225^3/49931000,360))</f>
        <v>217.192484079806</v>
      </c>
      <c r="AO225" s="27" t="n">
        <f aca="false"> AN225 + (1.9146 - 0.004817*M225 - 0.000014*M225^2)*SIN(R225)+ (0.019993 - 0.000101*M225)*SIN(2*R225)+ 0.00029*SIN(3*R225)</f>
        <v>215.427819074951</v>
      </c>
      <c r="AP225" s="18" t="n">
        <f aca="false">ACOS(COS(X225-$A$4*AO225)*COS(Y225))/$A$4</f>
        <v>44.9438612723419</v>
      </c>
      <c r="AQ225" s="25" t="n">
        <f aca="false">180 - AP225 -0.1468*(1-0.0549*SIN(R225))*SIN($A$4*AP225)/(1-0.0167*SIN($A$4*AO225))</f>
        <v>134.948274696886</v>
      </c>
      <c r="AR225" s="25" t="n">
        <f aca="false">SIN($A$4*AI225)</f>
        <v>0.998613878424697</v>
      </c>
      <c r="AS225" s="25" t="n">
        <f aca="false">COS($A$4*AI225)*SIN($A$4*$G$2) - TAN($A$4*AG225)*COS($A$4*$G$2)</f>
        <v>0.4745551936459</v>
      </c>
      <c r="AT225" s="25" t="n">
        <f aca="false">IF(OR(AND(AR225*AS225&gt;0), AND(AR225&lt;0,AS225&gt;0)), MOD(ATAN2(AS225,AR225)/$A$4+360,360),  ATAN2(AS225,AR225)/$A$4)</f>
        <v>64.5822833760624</v>
      </c>
      <c r="AU225" s="29" t="n">
        <f aca="false">(1+SIN($A$4*H225)*SIN($A$4*AJ225))*120*ASIN(0.272481*SIN($A$4*AJ225))/$A$4</f>
        <v>32.4947512775028</v>
      </c>
      <c r="AV225" s="10" t="n">
        <f aca="false">COS(X225)</f>
        <v>-0.168781030660045</v>
      </c>
      <c r="AW225" s="10" t="n">
        <f aca="false">SIN(X225)</f>
        <v>-0.985653571844253</v>
      </c>
      <c r="AX225" s="30" t="n">
        <f aca="false"> 385000.56 + (-20905355*COS(Q225) - 3699111*COS(2*S225-Q225) - 2955968*COS(2*S225) - 569925*COS(2*Q225) + (1-0.002516*M225)*48888*COS(R225) - 3149*COS(2*T225)  +246158*COS(2*S225-2*Q225) -(1-0.002516*M225)*152138*COS(2*S225-R225-Q225) -170733*COS(2*S225+Q225) -(1-0.002516*M225)*204586*COS(2*S225-R225) -(1-0.002516*M225)*129620*COS(R225-Q225)  + 108743*COS(S225) +(1-0.002516*M225)*104755*COS(R225+Q225) +10321*COS(2*S225-2*T225) +79661*COS(Q225-2*T225) -34782*COS(4*S225-Q225) -23210*COS(3*Q225)  -21636*COS(4*S225-2*Q225) +(1-0.002516*M225)*24208*COS(2*S225+R225-Q225) +(1-0.002516*M225)*30824*COS(2*S225+R225) -8379*COS(S225-Q225) -(1-0.002516*M225)*16675*COS(S225+R225)  -(1-0.002516*M225)*12831*COS(2*S225-R225+Q225) -10445*COS(2*S225+2*Q225) -11650*COS(4*S225) +14403*COS(2*S225-3*Q225) -(1-0.002516*M225)*7003*COS(R225-2*Q225)  + (1-0.002516*M225)*10056*COS(2*S225-R225-2*Q225) +6322*COS(S225+Q225) -(1-0.002516*M225)*(1-0.002516*M225)*9884*COS(2*S225-2*R225) +(1-0.002516*M225)*5751*COS(R225+2*Q225) -(1-0.002516*M225)*(1-0.002516*M225)*4950*COS(2*S225-2*R225-Q225)  +4130*COS(2*S225+Q225-2*T225) -(1-0.002516*M225)*3958*COS(4*S225-R225-Q225) +3258*COS(3*S225-Q225) +(1-0.002516*M225)*2616*COS(2*S225+R225+Q225) -(1-0.002516*M225)*1897*COS(4*S225-R225-2*Q225)  -(1-0.002516*M225)*(1-0.002516*M225)*2117*COS(2*R225-Q225) +(1-0.002516*M225)*(1-0.002516*M225)*2354*COS(2*S225+2*R225-Q225) -1423*COS(4*S225+Q225) -1117*COS(4*Q225) -(1-0.002516*M225)*1571*COS(4*S225-R225)  -1739*COS(S225-2*Q225) -4421*COS(2*Q225-2*T225) +(1-0.002516*M225)*(1-0.002516*M225)*1165*COS(2*R225+Q225) +8752*COS(2*S225-Q225-2*T225))/1000</f>
        <v>368523.747147886</v>
      </c>
      <c r="AY225" s="10" t="n">
        <f aca="false">AY224+1/8</f>
        <v>28.875</v>
      </c>
      <c r="AZ225" s="17" t="n">
        <f aca="false">AZ224+1</f>
        <v>224</v>
      </c>
      <c r="BA225" s="32" t="n">
        <f aca="false">ATAN(0.99664719*TAN($A$4*input!$E$2))</f>
        <v>-0.400219206115995</v>
      </c>
      <c r="BB225" s="32" t="n">
        <f aca="false">COS(BA225)</f>
        <v>0.920975608992155</v>
      </c>
      <c r="BC225" s="32" t="n">
        <f aca="false">0.99664719*SIN(BA225)</f>
        <v>-0.388313912533463</v>
      </c>
      <c r="BD225" s="32" t="n">
        <f aca="false">6378.14/AX225</f>
        <v>0.0173072700181801</v>
      </c>
      <c r="BE225" s="33" t="n">
        <f aca="false">MOD(N225-15*AH225,360)</f>
        <v>93.0170914223493</v>
      </c>
      <c r="BF225" s="27" t="n">
        <f aca="false">COS($A$4*AG225)*SIN($A$4*BE225)</f>
        <v>0.895611521759023</v>
      </c>
      <c r="BG225" s="27" t="n">
        <f aca="false">COS($A$4*AG225)*COS($A$4*BE225)-BB225*BD225</f>
        <v>-0.0631444848227094</v>
      </c>
      <c r="BH225" s="27" t="n">
        <f aca="false">SIN($A$4*AG225)-BC225*BD225</f>
        <v>-0.43560467726339</v>
      </c>
      <c r="BI225" s="46" t="n">
        <f aca="false">SQRT(BF225^2+BG225^2+BH225^2)</f>
        <v>0.997927181073239</v>
      </c>
      <c r="BJ225" s="35" t="n">
        <f aca="false">AX225*BI225</f>
        <v>367759.864149837</v>
      </c>
    </row>
    <row r="226" customFormat="false" ht="15" hidden="false" customHeight="false" outlineLevel="0" collapsed="false">
      <c r="A226" s="20"/>
      <c r="B226" s="20"/>
      <c r="C226" s="15" t="n">
        <f aca="false">MOD(C225+3,24)</f>
        <v>0</v>
      </c>
      <c r="D226" s="36" t="n">
        <v>29</v>
      </c>
      <c r="E226" s="102" t="n">
        <f aca="false">input!$C$2</f>
        <v>10</v>
      </c>
      <c r="F226" s="102" t="n">
        <f aca="false">input!$D$2</f>
        <v>2022</v>
      </c>
      <c r="H226" s="39" t="n">
        <f aca="false">AM226</f>
        <v>-25.7208005735077</v>
      </c>
      <c r="I226" s="48" t="n">
        <f aca="false">H226+1.02/(TAN($A$4*(H226+10.3/(H226+5.11)))*60)</f>
        <v>-25.7553178956886</v>
      </c>
      <c r="J226" s="39" t="n">
        <f aca="false">100*(1+COS($A$4*AQ226))/2</f>
        <v>15.7235219873679</v>
      </c>
      <c r="K226" s="48" t="n">
        <f aca="false">IF(AI226&gt;180,AT226-180,AT226+180)</f>
        <v>223.074368535424</v>
      </c>
      <c r="L226" s="10" t="n">
        <f aca="false">L225+1/8</f>
        <v>2459881.5</v>
      </c>
      <c r="M226" s="49" t="n">
        <f aca="false">(L226-2451545)/36525</f>
        <v>0.228240930869268</v>
      </c>
      <c r="N226" s="15" t="n">
        <f aca="false">MOD(280.46061837+360.98564736629*(L226-2451545)+0.000387933*M226^2-M226^3/38710000+$G$4,360)</f>
        <v>37.309907654766</v>
      </c>
      <c r="O226" s="18" t="n">
        <f aca="false">0.60643382+1336.85522467*M226 - 0.00000313*M226^2 - INT(0.60643382+1336.85522467*M226 - 0.00000313*M226^2)</f>
        <v>0.731514573070797</v>
      </c>
      <c r="P226" s="15" t="n">
        <f aca="false">22640*SIN(Q226)-4586*SIN(Q226-2*S226)+2370*SIN(2*S226)+769*SIN(2*Q226)-668*SIN(R226)-412*SIN(2*T226)-212*SIN(2*Q226-2*S226)-206*SIN(Q226+R226-2*S226)+192*SIN(Q226+2*S226)-165*SIN(R226-2*S226)-125*SIN(S226)-110*SIN(Q226+R226)+148*SIN(Q226-R226)-55*SIN(2*T226-2*S226)</f>
        <v>-4577.27331396849</v>
      </c>
      <c r="Q226" s="18" t="n">
        <f aca="false">2*PI()*(0.374897+1325.55241*M226 - INT(0.374897+1325.55241*M226))</f>
        <v>5.78186864023281</v>
      </c>
      <c r="R226" s="26" t="n">
        <f aca="false">2*PI()*(0.99312619+99.99735956*M226 - 0.00000044*M226^2 - INT(0.99312619+99.99735956*M226- 0.00000044*M226^2))</f>
        <v>5.13095340714881</v>
      </c>
      <c r="S226" s="26" t="n">
        <f aca="false">2*PI()*(0.827361+1236.853086*M226 - INT(0.827361+1236.853086*M226))</f>
        <v>0.803372453801291</v>
      </c>
      <c r="T226" s="26" t="n">
        <f aca="false">2*PI()*(0.259086+1342.227825*M226 - INT(0.259086+1342.227825*M226))</f>
        <v>3.83534563723872</v>
      </c>
      <c r="U226" s="26" t="n">
        <f aca="false">T226+(P226+412*SIN(2*T226)+541*SIN(R226))/206264.8062</f>
        <v>3.81272194305374</v>
      </c>
      <c r="V226" s="26" t="n">
        <f aca="false">T226-2*S226</f>
        <v>2.22860072963614</v>
      </c>
      <c r="W226" s="25" t="n">
        <f aca="false">-526*SIN(V226)+44*SIN(Q226+V226)-31*SIN(-Q226+V226)-23*SIN(R226+V226)+11*SIN(-R226+V226)-25*SIN(-2*Q226+T226)+21*SIN(-Q226+T226)</f>
        <v>-402.769244256959</v>
      </c>
      <c r="X226" s="26" t="n">
        <f aca="false">2*PI()*(O226+P226/1296000-INT(O226+P226/1296000))</f>
        <v>4.57405037025828</v>
      </c>
      <c r="Y226" s="26" t="n">
        <f aca="false">(18520*SIN(U226)+W226)/206264.8062</f>
        <v>-0.0577888967042325</v>
      </c>
      <c r="Z226" s="26" t="n">
        <f aca="false">Y226*180/PI()</f>
        <v>-3.31105988387</v>
      </c>
      <c r="AA226" s="26" t="n">
        <f aca="false">COS(Y226)*COS(X226)</f>
        <v>-0.137667593327994</v>
      </c>
      <c r="AB226" s="26" t="n">
        <f aca="false">COS(Y226)*SIN(X226)</f>
        <v>-0.988793099215457</v>
      </c>
      <c r="AC226" s="26" t="n">
        <f aca="false">SIN(Y226)</f>
        <v>-0.0577567371928989</v>
      </c>
      <c r="AD226" s="26" t="n">
        <f aca="false">COS($A$4*(23.4393-46.815*M226/3600))*AB226-SIN($A$4*(23.4393-46.815*M226/3600))*AC226</f>
        <v>-0.884248670673201</v>
      </c>
      <c r="AE226" s="26" t="n">
        <f aca="false">SIN($A$4*(23.4393-46.815*M226/3600))*AB226+COS($A$4*(23.4393-46.815*M226/3600))*AC226</f>
        <v>-0.446264408349978</v>
      </c>
      <c r="AF226" s="26" t="n">
        <f aca="false">SQRT(1-AE226*AE226)</f>
        <v>0.894901155346245</v>
      </c>
      <c r="AG226" s="10" t="n">
        <f aca="false">ATAN(AE226/AF226)/$A$4</f>
        <v>-26.50426366128</v>
      </c>
      <c r="AH226" s="26" t="n">
        <f aca="false">IF(24*ATAN(AD226/(AA226+AF226))/PI()&gt;0,24*ATAN(AD226/(AA226+AF226))/PI(),24*ATAN(AD226/(AA226+AF226))/PI()+24)</f>
        <v>17.4100488633153</v>
      </c>
      <c r="AI226" s="10" t="n">
        <f aca="false">IF(N226-15*AH226&gt;0,N226-15*AH226,360+N226-15*AH226)</f>
        <v>136.159174705037</v>
      </c>
      <c r="AJ226" s="18" t="n">
        <f aca="false">0.950724+0.051818*COS(Q226)+0.009531*COS(2*S226-Q226)+0.007843*COS(2*S226)+0.002824*COS(2*Q226)+0.000857*COS(2*S226+Q226)+0.000533*COS(2*S226-R226)+0.000401*COS(2*S226-R226-Q226)+0.00032*COS(Q226-R226)-0.000271*COS(S226)</f>
        <v>0.992083996278866</v>
      </c>
      <c r="AK226" s="50" t="n">
        <f aca="false">ASIN(COS($A$4*$G$2)*COS($A$4*AG226)*COS($A$4*AI226)+SIN($A$4*$G$2)*SIN($A$4*AG226))/$A$4</f>
        <v>-24.8208261057529</v>
      </c>
      <c r="AL226" s="18" t="n">
        <f aca="false">ASIN((0.9983271+0.0016764*COS($A$4*2*$G$2))*COS($A$4*AK226)*SIN($A$4*AJ226))/$A$4</f>
        <v>0.899974467754833</v>
      </c>
      <c r="AM226" s="18" t="n">
        <f aca="false">AK226-AL226</f>
        <v>-25.7208005735077</v>
      </c>
      <c r="AN226" s="10" t="n">
        <f aca="false"> IF(280.4664567 + 360007.6982779*M226/10 + 0.03032028*M226^2/100 + M226^3/49931000&lt;0,MOD(280.4664567 + 360007.6982779*M226/10 + 0.03032028*M226^2/100 + M226^3/49931000+360,360),MOD(280.4664567 + 360007.6982779*M226/10 + 0.03032028*M226^2/100 + M226^3/49931000,360))</f>
        <v>217.315690000296</v>
      </c>
      <c r="AO226" s="27" t="n">
        <f aca="false"> AN226 + (1.9146 - 0.004817*M226 - 0.000014*M226^2)*SIN(R226)+ (0.019993 - 0.000101*M226)*SIN(2*R226)+ 0.00029*SIN(3*R226)</f>
        <v>215.552633882214</v>
      </c>
      <c r="AP226" s="18" t="n">
        <f aca="false">ACOS(COS(X226-$A$4*AO226)*COS(Y226))/$A$4</f>
        <v>46.6117759763073</v>
      </c>
      <c r="AQ226" s="25" t="n">
        <f aca="false">180 - AP226 -0.1468*(1-0.0549*SIN(R226))*SIN($A$4*AP226)/(1-0.0167*SIN($A$4*AO226))</f>
        <v>133.277268303736</v>
      </c>
      <c r="AR226" s="25" t="n">
        <f aca="false">SIN($A$4*AI226)</f>
        <v>0.692657278136338</v>
      </c>
      <c r="AS226" s="25" t="n">
        <f aca="false">COS($A$4*AI226)*SIN($A$4*$G$2) - TAN($A$4*AG226)*COS($A$4*$G$2)</f>
        <v>0.740853737656871</v>
      </c>
      <c r="AT226" s="25" t="n">
        <f aca="false">IF(OR(AND(AR226*AS226&gt;0), AND(AR226&lt;0,AS226&gt;0)), MOD(ATAN2(AS226,AR226)/$A$4+360,360),  ATAN2(AS226,AR226)/$A$4)</f>
        <v>43.0743685354236</v>
      </c>
      <c r="AU226" s="29" t="n">
        <f aca="false">(1+SIN($A$4*H226)*SIN($A$4*AJ226))*120*ASIN(0.272481*SIN($A$4*AJ226))/$A$4</f>
        <v>32.1936446897118</v>
      </c>
      <c r="AV226" s="10" t="n">
        <f aca="false">COS(X226)</f>
        <v>-0.137897787987733</v>
      </c>
      <c r="AW226" s="10" t="n">
        <f aca="false">SIN(X226)</f>
        <v>-0.990446465018726</v>
      </c>
      <c r="AX226" s="30" t="n">
        <f aca="false"> 385000.56 + (-20905355*COS(Q226) - 3699111*COS(2*S226-Q226) - 2955968*COS(2*S226) - 569925*COS(2*Q226) + (1-0.002516*M226)*48888*COS(R226) - 3149*COS(2*T226)  +246158*COS(2*S226-2*Q226) -(1-0.002516*M226)*152138*COS(2*S226-R226-Q226) -170733*COS(2*S226+Q226) -(1-0.002516*M226)*204586*COS(2*S226-R226) -(1-0.002516*M226)*129620*COS(R226-Q226)  + 108743*COS(S226) +(1-0.002516*M226)*104755*COS(R226+Q226) +10321*COS(2*S226-2*T226) +79661*COS(Q226-2*T226) -34782*COS(4*S226-Q226) -23210*COS(3*Q226)  -21636*COS(4*S226-2*Q226) +(1-0.002516*M226)*24208*COS(2*S226+R226-Q226) +(1-0.002516*M226)*30824*COS(2*S226+R226) -8379*COS(S226-Q226) -(1-0.002516*M226)*16675*COS(S226+R226)  -(1-0.002516*M226)*12831*COS(2*S226-R226+Q226) -10445*COS(2*S226+2*Q226) -11650*COS(4*S226) +14403*COS(2*S226-3*Q226) -(1-0.002516*M226)*7003*COS(R226-2*Q226)  + (1-0.002516*M226)*10056*COS(2*S226-R226-2*Q226) +6322*COS(S226+Q226) -(1-0.002516*M226)*(1-0.002516*M226)*9884*COS(2*S226-2*R226) +(1-0.002516*M226)*5751*COS(R226+2*Q226) -(1-0.002516*M226)*(1-0.002516*M226)*4950*COS(2*S226-2*R226-Q226)  +4130*COS(2*S226+Q226-2*T226) -(1-0.002516*M226)*3958*COS(4*S226-R226-Q226) +3258*COS(3*S226-Q226) +(1-0.002516*M226)*2616*COS(2*S226+R226+Q226) -(1-0.002516*M226)*1897*COS(4*S226-R226-2*Q226)  -(1-0.002516*M226)*(1-0.002516*M226)*2117*COS(2*R226-Q226) +(1-0.002516*M226)*(1-0.002516*M226)*2354*COS(2*S226+2*R226-Q226) -1423*COS(4*S226+Q226) -1117*COS(4*Q226) -(1-0.002516*M226)*1571*COS(4*S226-R226)  -1739*COS(S226-2*Q226) -4421*COS(2*Q226-2*T226) +(1-0.002516*M226)*(1-0.002516*M226)*1165*COS(2*R226+Q226) +8752*COS(2*S226-Q226-2*T226))/1000</f>
        <v>368451.172195108</v>
      </c>
      <c r="AY226" s="10" t="n">
        <f aca="false">AY225+1/8</f>
        <v>29</v>
      </c>
      <c r="AZ226" s="17" t="n">
        <f aca="false">AZ225+1</f>
        <v>225</v>
      </c>
      <c r="BA226" s="32" t="n">
        <f aca="false">ATAN(0.99664719*TAN($A$4*input!$E$2))</f>
        <v>-0.400219206115995</v>
      </c>
      <c r="BB226" s="32" t="n">
        <f aca="false">COS(BA226)</f>
        <v>0.920975608992155</v>
      </c>
      <c r="BC226" s="32" t="n">
        <f aca="false">0.99664719*SIN(BA226)</f>
        <v>-0.388313912533463</v>
      </c>
      <c r="BD226" s="32" t="n">
        <f aca="false">6378.14/AX226</f>
        <v>0.0173106790840186</v>
      </c>
      <c r="BE226" s="33" t="n">
        <f aca="false">MOD(N226-15*AH226,360)</f>
        <v>136.159174705037</v>
      </c>
      <c r="BF226" s="27" t="n">
        <f aca="false">COS($A$4*AG226)*SIN($A$4*BE226)</f>
        <v>0.619859798463195</v>
      </c>
      <c r="BG226" s="27" t="n">
        <f aca="false">COS($A$4*AG226)*COS($A$4*BE226)-BB226*BD226</f>
        <v>-0.661405266803245</v>
      </c>
      <c r="BH226" s="27" t="n">
        <f aca="false">SIN($A$4*AG226)-BC226*BD226</f>
        <v>-0.439542430826251</v>
      </c>
      <c r="BI226" s="46" t="n">
        <f aca="false">SQRT(BF226^2+BG226^2+BH226^2)</f>
        <v>1.00741284744764</v>
      </c>
      <c r="BJ226" s="35" t="n">
        <f aca="false">AX226*BI226</f>
        <v>371182.444526493</v>
      </c>
    </row>
    <row r="227" customFormat="false" ht="15" hidden="false" customHeight="false" outlineLevel="0" collapsed="false">
      <c r="A227" s="20"/>
      <c r="B227" s="20"/>
      <c r="C227" s="15" t="n">
        <f aca="false">MOD(C226+3,24)</f>
        <v>3</v>
      </c>
      <c r="D227" s="17" t="n">
        <v>29</v>
      </c>
      <c r="E227" s="102" t="n">
        <f aca="false">input!$C$2</f>
        <v>10</v>
      </c>
      <c r="F227" s="102" t="n">
        <f aca="false">input!$D$2</f>
        <v>2022</v>
      </c>
      <c r="H227" s="39" t="n">
        <f aca="false">AM227</f>
        <v>-41.0232835076276</v>
      </c>
      <c r="I227" s="48" t="n">
        <f aca="false">H227+1.02/(TAN($A$4*(H227+10.3/(H227+5.11)))*60)</f>
        <v>-41.0426273333221</v>
      </c>
      <c r="J227" s="39" t="n">
        <f aca="false">100*(1+COS($A$4*AQ227))/2</f>
        <v>16.7995784467284</v>
      </c>
      <c r="K227" s="48" t="n">
        <f aca="false">IF(AI227&gt;180,AT227-180,AT227+180)</f>
        <v>180.827560803929</v>
      </c>
      <c r="L227" s="10" t="n">
        <f aca="false">L226+1/8</f>
        <v>2459881.625</v>
      </c>
      <c r="M227" s="49" t="n">
        <f aca="false">(L227-2451545)/36525</f>
        <v>0.228244353182752</v>
      </c>
      <c r="N227" s="15" t="n">
        <f aca="false">MOD(280.46061837+360.98564736629*(L227-2451545)+0.000387933*M227^2-M227^3/38710000+$G$4,360)</f>
        <v>82.4331135768443</v>
      </c>
      <c r="O227" s="18" t="n">
        <f aca="false">0.60643382+1336.85522467*M227 - 0.00000313*M227^2 - INT(0.60643382+1336.85522467*M227 - 0.00000313*M227^2)</f>
        <v>0.736089710727299</v>
      </c>
      <c r="P227" s="15" t="n">
        <f aca="false">22640*SIN(Q227)-4586*SIN(Q227-2*S227)+2370*SIN(2*S227)+769*SIN(2*Q227)-668*SIN(R227)-412*SIN(2*T227)-212*SIN(2*Q227-2*S227)-206*SIN(Q227+R227-2*S227)+192*SIN(Q227+2*S227)-165*SIN(R227-2*S227)-125*SIN(S227)-110*SIN(Q227+R227)+148*SIN(Q227-R227)-55*SIN(2*T227-2*S227)</f>
        <v>-4058.21257082537</v>
      </c>
      <c r="Q227" s="18" t="n">
        <f aca="false">2*PI()*(0.374897+1325.55241*M227 - INT(0.374897+1325.55241*M227))</f>
        <v>5.81037203320497</v>
      </c>
      <c r="R227" s="26" t="n">
        <f aca="false">2*PI()*(0.99312619+99.99735956*M227 - 0.00000044*M227^2 - INT(0.99312619+99.99735956*M227- 0.00000044*M227^2))</f>
        <v>5.13310365334692</v>
      </c>
      <c r="S227" s="26" t="n">
        <f aca="false">2*PI()*(0.827361+1236.853086*M227 - INT(0.827361+1236.853086*M227))</f>
        <v>0.829968542566213</v>
      </c>
      <c r="T227" s="26" t="n">
        <f aca="false">2*PI()*(0.259086+1342.227825*M227 - INT(0.259086+1342.227825*M227))</f>
        <v>3.86420760215612</v>
      </c>
      <c r="U227" s="26" t="n">
        <f aca="false">T227+(P227+412*SIN(2*T227)+541*SIN(R227))/206264.8062</f>
        <v>3.84412041567041</v>
      </c>
      <c r="V227" s="26" t="n">
        <f aca="false">T227-2*S227</f>
        <v>2.2042705170237</v>
      </c>
      <c r="W227" s="25" t="n">
        <f aca="false">-526*SIN(V227)+44*SIN(Q227+V227)-31*SIN(-Q227+V227)-23*SIN(R227+V227)+11*SIN(-R227+V227)-25*SIN(-2*Q227+T227)+21*SIN(-Q227+T227)</f>
        <v>-411.375090653569</v>
      </c>
      <c r="X227" s="26" t="n">
        <f aca="false">2*PI()*(O227+P227/1296000-INT(O227+P227/1296000))</f>
        <v>4.60531328545597</v>
      </c>
      <c r="Y227" s="26" t="n">
        <f aca="false">(18520*SIN(U227)+W227)/206264.8062</f>
        <v>-0.0600104989852552</v>
      </c>
      <c r="Z227" s="26" t="n">
        <f aca="false">Y227*180/PI()</f>
        <v>-3.43834831832923</v>
      </c>
      <c r="AA227" s="26" t="n">
        <f aca="false">COS(Y227)*COS(X227)</f>
        <v>-0.106678826981616</v>
      </c>
      <c r="AB227" s="26" t="n">
        <f aca="false">COS(Y227)*SIN(X227)</f>
        <v>-0.992483092467889</v>
      </c>
      <c r="AC227" s="26" t="n">
        <f aca="false">SIN(Y227)</f>
        <v>-0.0599744865688901</v>
      </c>
      <c r="AD227" s="26" t="n">
        <f aca="false">COS($A$4*(23.4393-46.815*M227/3600))*AB227-SIN($A$4*(23.4393-46.815*M227/3600))*AC227</f>
        <v>-0.886752184496216</v>
      </c>
      <c r="AE227" s="26" t="n">
        <f aca="false">SIN($A$4*(23.4393-46.815*M227/3600))*AB227+COS($A$4*(23.4393-46.815*M227/3600))*AC227</f>
        <v>-0.449766818657196</v>
      </c>
      <c r="AF227" s="26" t="n">
        <f aca="false">SQRT(1-AE227*AE227)</f>
        <v>0.893146017644923</v>
      </c>
      <c r="AG227" s="10" t="n">
        <f aca="false">ATAN(AE227/AF227)/$A$4</f>
        <v>-26.7287242628867</v>
      </c>
      <c r="AH227" s="26" t="n">
        <f aca="false">IF(24*ATAN(AD227/(AA227+AF227))/PI()&gt;0,24*ATAN(AD227/(AA227+AF227))/PI(),24*ATAN(AD227/(AA227+AF227))/PI()+24)</f>
        <v>17.5426747156896</v>
      </c>
      <c r="AI227" s="10" t="n">
        <f aca="false">IF(N227-15*AH227&gt;0,N227-15*AH227,360+N227-15*AH227)</f>
        <v>179.292992841501</v>
      </c>
      <c r="AJ227" s="18" t="n">
        <f aca="false">0.950724+0.051818*COS(Q227)+0.009531*COS(2*S227-Q227)+0.007843*COS(2*S227)+0.002824*COS(2*Q227)+0.000857*COS(2*S227+Q227)+0.000533*COS(2*S227-R227)+0.000401*COS(2*S227-R227-Q227)+0.00032*COS(Q227-R227)-0.000271*COS(S227)</f>
        <v>0.992219373570994</v>
      </c>
      <c r="AK227" s="50" t="n">
        <f aca="false">ASIN(COS($A$4*$G$2)*COS($A$4*AG227)*COS($A$4*AI227)+SIN($A$4*$G$2)*SIN($A$4*AG227))/$A$4</f>
        <v>-40.2665756849482</v>
      </c>
      <c r="AL227" s="18" t="n">
        <f aca="false">ASIN((0.9983271+0.0016764*COS($A$4*2*$G$2))*COS($A$4*AK227)*SIN($A$4*AJ227))/$A$4</f>
        <v>0.756707822679418</v>
      </c>
      <c r="AM227" s="18" t="n">
        <f aca="false">AK227-AL227</f>
        <v>-41.0232835076276</v>
      </c>
      <c r="AN227" s="10" t="n">
        <f aca="false"> IF(280.4664567 + 360007.6982779*M227/10 + 0.03032028*M227^2/100 + M227^3/49931000&lt;0,MOD(280.4664567 + 360007.6982779*M227/10 + 0.03032028*M227^2/100 + M227^3/49931000+360,360),MOD(280.4664567 + 360007.6982779*M227/10 + 0.03032028*M227^2/100 + M227^3/49931000,360))</f>
        <v>217.438895920781</v>
      </c>
      <c r="AO227" s="27" t="n">
        <f aca="false"> AN227 + (1.9146 - 0.004817*M227 - 0.000014*M227^2)*SIN(R227)+ (0.019993 - 0.000101*M227)*SIN(2*R227)+ 0.00029*SIN(3*R227)</f>
        <v>215.677457043444</v>
      </c>
      <c r="AP227" s="18" t="n">
        <f aca="false">ACOS(COS(X227-$A$4*AO227)*COS(Y227))/$A$4</f>
        <v>48.27974716182</v>
      </c>
      <c r="AQ227" s="25" t="n">
        <f aca="false">180 - AP227 -0.1468*(1-0.0549*SIN(R227))*SIN($A$4*AP227)/(1-0.0167*SIN($A$4*AO227))</f>
        <v>131.606299826235</v>
      </c>
      <c r="AR227" s="25" t="n">
        <f aca="false">SIN($A$4*AI227)</f>
        <v>0.012339289603453</v>
      </c>
      <c r="AS227" s="25" t="n">
        <f aca="false">COS($A$4*AI227)*SIN($A$4*$G$2) - TAN($A$4*AG227)*COS($A$4*$G$2)</f>
        <v>0.854245450670879</v>
      </c>
      <c r="AT227" s="25" t="n">
        <f aca="false">IF(OR(AND(AR227*AS227&gt;0), AND(AR227&lt;0,AS227&gt;0)), MOD(ATAN2(AS227,AR227)/$A$4+360,360),  ATAN2(AS227,AR227)/$A$4)</f>
        <v>0.827560803928975</v>
      </c>
      <c r="AU227" s="29" t="n">
        <f aca="false">(1+SIN($A$4*H227)*SIN($A$4*AJ227))*120*ASIN(0.272481*SIN($A$4*AJ227))/$A$4</f>
        <v>32.0730751142505</v>
      </c>
      <c r="AV227" s="10" t="n">
        <f aca="false">COS(X227)</f>
        <v>-0.106871204734457</v>
      </c>
      <c r="AW227" s="10" t="n">
        <f aca="false">SIN(X227)</f>
        <v>-0.994272872806357</v>
      </c>
      <c r="AX227" s="30" t="n">
        <f aca="false"> 385000.56 + (-20905355*COS(Q227) - 3699111*COS(2*S227-Q227) - 2955968*COS(2*S227) - 569925*COS(2*Q227) + (1-0.002516*M227)*48888*COS(R227) - 3149*COS(2*T227)  +246158*COS(2*S227-2*Q227) -(1-0.002516*M227)*152138*COS(2*S227-R227-Q227) -170733*COS(2*S227+Q227) -(1-0.002516*M227)*204586*COS(2*S227-R227) -(1-0.002516*M227)*129620*COS(R227-Q227)  + 108743*COS(S227) +(1-0.002516*M227)*104755*COS(R227+Q227) +10321*COS(2*S227-2*T227) +79661*COS(Q227-2*T227) -34782*COS(4*S227-Q227) -23210*COS(3*Q227)  -21636*COS(4*S227-2*Q227) +(1-0.002516*M227)*24208*COS(2*S227+R227-Q227) +(1-0.002516*M227)*30824*COS(2*S227+R227) -8379*COS(S227-Q227) -(1-0.002516*M227)*16675*COS(S227+R227)  -(1-0.002516*M227)*12831*COS(2*S227-R227+Q227) -10445*COS(2*S227+2*Q227) -11650*COS(4*S227) +14403*COS(2*S227-3*Q227) -(1-0.002516*M227)*7003*COS(R227-2*Q227)  + (1-0.002516*M227)*10056*COS(2*S227-R227-2*Q227) +6322*COS(S227+Q227) -(1-0.002516*M227)*(1-0.002516*M227)*9884*COS(2*S227-2*R227) +(1-0.002516*M227)*5751*COS(R227+2*Q227) -(1-0.002516*M227)*(1-0.002516*M227)*4950*COS(2*S227-2*R227-Q227)  +4130*COS(2*S227+Q227-2*T227) -(1-0.002516*M227)*3958*COS(4*S227-R227-Q227) +3258*COS(3*S227-Q227) +(1-0.002516*M227)*2616*COS(2*S227+R227+Q227) -(1-0.002516*M227)*1897*COS(4*S227-R227-2*Q227)  -(1-0.002516*M227)*(1-0.002516*M227)*2117*COS(2*R227-Q227) +(1-0.002516*M227)*(1-0.002516*M227)*2354*COS(2*S227+2*R227-Q227) -1423*COS(4*S227+Q227) -1117*COS(4*Q227) -(1-0.002516*M227)*1571*COS(4*S227-R227)  -1739*COS(S227-2*Q227) -4421*COS(2*Q227-2*T227) +(1-0.002516*M227)*(1-0.002516*M227)*1165*COS(2*R227+Q227) +8752*COS(2*S227-Q227-2*T227))/1000</f>
        <v>368392.635040652</v>
      </c>
      <c r="AY227" s="10" t="n">
        <f aca="false">IF($A$7&gt;28,AY226+1/8,"")</f>
        <v>29.125</v>
      </c>
      <c r="AZ227" s="17" t="n">
        <f aca="false">AZ226+1</f>
        <v>226</v>
      </c>
      <c r="BA227" s="32" t="n">
        <f aca="false">ATAN(0.99664719*TAN($A$4*input!$E$2))</f>
        <v>-0.400219206115995</v>
      </c>
      <c r="BB227" s="32" t="n">
        <f aca="false">COS(BA227)</f>
        <v>0.920975608992155</v>
      </c>
      <c r="BC227" s="32" t="n">
        <f aca="false">0.99664719*SIN(BA227)</f>
        <v>-0.388313912533463</v>
      </c>
      <c r="BD227" s="32" t="n">
        <f aca="false">6378.14/AX227</f>
        <v>0.0173134297304727</v>
      </c>
      <c r="BE227" s="33" t="n">
        <f aca="false">MOD(N227-15*AH227,360)</f>
        <v>179.292992841501</v>
      </c>
      <c r="BF227" s="27" t="n">
        <f aca="false">COS($A$4*AG227)*SIN($A$4*BE227)</f>
        <v>0.0110207873698915</v>
      </c>
      <c r="BG227" s="27" t="n">
        <f aca="false">COS($A$4*AG227)*COS($A$4*BE227)-BB227*BD227</f>
        <v>-0.909023267202811</v>
      </c>
      <c r="BH227" s="27" t="n">
        <f aca="false">SIN($A$4*AG227)-BC227*BD227</f>
        <v>-0.443043773019183</v>
      </c>
      <c r="BI227" s="46" t="n">
        <f aca="false">SQRT(BF227^2+BG227^2+BH227^2)</f>
        <v>1.01130239932544</v>
      </c>
      <c r="BJ227" s="35" t="n">
        <f aca="false">AX227*BI227</f>
        <v>372556.355710434</v>
      </c>
    </row>
    <row r="228" customFormat="false" ht="15" hidden="false" customHeight="false" outlineLevel="0" collapsed="false">
      <c r="A228" s="20"/>
      <c r="B228" s="20"/>
      <c r="C228" s="15" t="n">
        <f aca="false">MOD(C227+3,24)</f>
        <v>6</v>
      </c>
      <c r="D228" s="17" t="n">
        <v>29</v>
      </c>
      <c r="E228" s="102" t="n">
        <f aca="false">input!$C$2</f>
        <v>10</v>
      </c>
      <c r="F228" s="102" t="n">
        <f aca="false">input!$D$2</f>
        <v>2022</v>
      </c>
      <c r="H228" s="39" t="n">
        <f aca="false">AM228</f>
        <v>-26.2963374671304</v>
      </c>
      <c r="I228" s="48" t="n">
        <f aca="false">H228+1.02/(TAN($A$4*(H228+10.3/(H228+5.11)))*60)</f>
        <v>-26.3300173041762</v>
      </c>
      <c r="J228" s="39" t="n">
        <f aca="false">100*(1+COS($A$4*AQ228))/2</f>
        <v>17.9037460534164</v>
      </c>
      <c r="K228" s="48" t="n">
        <f aca="false">IF(AI228&gt;180,AT228-180,AT228+180)</f>
        <v>138.256915043977</v>
      </c>
      <c r="L228" s="10" t="n">
        <f aca="false">L227+1/8</f>
        <v>2459881.75</v>
      </c>
      <c r="M228" s="49" t="n">
        <f aca="false">(L228-2451545)/36525</f>
        <v>0.228247775496235</v>
      </c>
      <c r="N228" s="15" t="n">
        <f aca="false">MOD(280.46061837+360.98564736629*(L228-2451545)+0.000387933*M228^2-M228^3/38710000+$G$4,360)</f>
        <v>127.556319497991</v>
      </c>
      <c r="O228" s="18" t="n">
        <f aca="false">0.60643382+1336.85522467*M228 - 0.00000313*M228^2 - INT(0.60643382+1336.85522467*M228 - 0.00000313*M228^2)</f>
        <v>0.740664848383858</v>
      </c>
      <c r="P228" s="15" t="n">
        <f aca="false">22640*SIN(Q228)-4586*SIN(Q228-2*S228)+2370*SIN(2*S228)+769*SIN(2*Q228)-668*SIN(R228)-412*SIN(2*T228)-212*SIN(2*Q228-2*S228)-206*SIN(Q228+R228-2*S228)+192*SIN(Q228+2*S228)-165*SIN(R228-2*S228)-125*SIN(S228)-110*SIN(Q228+R228)+148*SIN(Q228-R228)-55*SIN(2*T228-2*S228)</f>
        <v>-3537.85118363355</v>
      </c>
      <c r="Q228" s="18" t="n">
        <f aca="false">2*PI()*(0.374897+1325.55241*M228 - INT(0.374897+1325.55241*M228))</f>
        <v>5.83887542617677</v>
      </c>
      <c r="R228" s="26" t="n">
        <f aca="false">2*PI()*(0.99312619+99.99735956*M228 - 0.00000044*M228^2 - INT(0.99312619+99.99735956*M228- 0.00000044*M228^2))</f>
        <v>5.13525389954498</v>
      </c>
      <c r="S228" s="26" t="n">
        <f aca="false">2*PI()*(0.827361+1236.853086*M228 - INT(0.827361+1236.853086*M228))</f>
        <v>0.856564631331136</v>
      </c>
      <c r="T228" s="26" t="n">
        <f aca="false">2*PI()*(0.259086+1342.227825*M228 - INT(0.259086+1342.227825*M228))</f>
        <v>3.89306956707388</v>
      </c>
      <c r="U228" s="26" t="n">
        <f aca="false">T228+(P228+412*SIN(2*T228)+541*SIN(R228))/206264.8062</f>
        <v>3.87551860374161</v>
      </c>
      <c r="V228" s="26" t="n">
        <f aca="false">T228-2*S228</f>
        <v>2.17994030441161</v>
      </c>
      <c r="W228" s="25" t="n">
        <f aca="false">-526*SIN(V228)+44*SIN(Q228+V228)-31*SIN(-Q228+V228)-23*SIN(R228+V228)+11*SIN(-R228+V228)-25*SIN(-2*Q228+T228)+21*SIN(-Q228+T228)</f>
        <v>-419.700231284135</v>
      </c>
      <c r="X228" s="26" t="n">
        <f aca="false">2*PI()*(O228+P228/1296000-INT(O228+P228/1296000))</f>
        <v>4.6365825063543</v>
      </c>
      <c r="Y228" s="26" t="n">
        <f aca="false">(18520*SIN(U228)+W228)/206264.8062</f>
        <v>-0.0621735301084544</v>
      </c>
      <c r="Z228" s="26" t="n">
        <f aca="false">Y228*180/PI()</f>
        <v>-3.56228087264399</v>
      </c>
      <c r="AA228" s="26" t="n">
        <f aca="false">COS(Y228)*COS(X228)</f>
        <v>-0.0755875603625368</v>
      </c>
      <c r="AB228" s="26" t="n">
        <f aca="false">COS(Y228)*SIN(X228)</f>
        <v>-0.995201462582278</v>
      </c>
      <c r="AC228" s="26" t="n">
        <f aca="false">SIN(Y228)</f>
        <v>-0.0621334820570547</v>
      </c>
      <c r="AD228" s="26" t="n">
        <f aca="false">COS($A$4*(23.4393-46.815*M228/3600))*AB228-SIN($A$4*(23.4393-46.815*M228/3600))*AC228</f>
        <v>-0.888387599733913</v>
      </c>
      <c r="AE228" s="26" t="n">
        <f aca="false">SIN($A$4*(23.4393-46.815*M228/3600))*AB228+COS($A$4*(23.4393-46.815*M228/3600))*AC228</f>
        <v>-0.45282887866992</v>
      </c>
      <c r="AF228" s="26" t="n">
        <f aca="false">SQRT(1-AE228*AE228)</f>
        <v>0.891597446520874</v>
      </c>
      <c r="AG228" s="10" t="n">
        <f aca="false">ATAN(AE228/AF228)/$A$4</f>
        <v>-26.9253272444626</v>
      </c>
      <c r="AH228" s="26" t="n">
        <f aca="false">IF(24*ATAN(AD228/(AA228+AF228))/PI()&gt;0,24*ATAN(AD228/(AA228+AF228))/PI(),24*ATAN(AD228/(AA228+AF228))/PI()+24)</f>
        <v>17.675783962943</v>
      </c>
      <c r="AI228" s="10" t="n">
        <f aca="false">IF(N228-15*AH228&gt;0,N228-15*AH228,360+N228-15*AH228)</f>
        <v>222.419560053847</v>
      </c>
      <c r="AJ228" s="18" t="n">
        <f aca="false">0.950724+0.051818*COS(Q228)+0.009531*COS(2*S228-Q228)+0.007843*COS(2*S228)+0.002824*COS(2*Q228)+0.000857*COS(2*S228+Q228)+0.000533*COS(2*S228-R228)+0.000401*COS(2*S228-R228-Q228)+0.00032*COS(Q228-R228)-0.000271*COS(S228)</f>
        <v>0.992316304509748</v>
      </c>
      <c r="AK228" s="50" t="n">
        <f aca="false">ASIN(COS($A$4*$G$2)*COS($A$4*AG228)*COS($A$4*AI228)+SIN($A$4*$G$2)*SIN($A$4*AG228))/$A$4</f>
        <v>-25.4004101561189</v>
      </c>
      <c r="AL228" s="18" t="n">
        <f aca="false">ASIN((0.9983271+0.0016764*COS($A$4*2*$G$2))*COS($A$4*AK228)*SIN($A$4*AJ228))/$A$4</f>
        <v>0.895927311011453</v>
      </c>
      <c r="AM228" s="18" t="n">
        <f aca="false">AK228-AL228</f>
        <v>-26.2963374671304</v>
      </c>
      <c r="AN228" s="10" t="n">
        <f aca="false"> IF(280.4664567 + 360007.6982779*M228/10 + 0.03032028*M228^2/100 + M228^3/49931000&lt;0,MOD(280.4664567 + 360007.6982779*M228/10 + 0.03032028*M228^2/100 + M228^3/49931000+360,360),MOD(280.4664567 + 360007.6982779*M228/10 + 0.03032028*M228^2/100 + M228^3/49931000,360))</f>
        <v>217.562101841269</v>
      </c>
      <c r="AO228" s="27" t="n">
        <f aca="false"> AN228 + (1.9146 - 0.004817*M228 - 0.000014*M228^2)*SIN(R228)+ (0.019993 - 0.000101*M228)*SIN(2*R228)+ 0.00029*SIN(3*R228)</f>
        <v>215.802288552031</v>
      </c>
      <c r="AP228" s="18" t="n">
        <f aca="false">ACOS(COS(X228-$A$4*AO228)*COS(Y228))/$A$4</f>
        <v>49.9476288558998</v>
      </c>
      <c r="AQ228" s="25" t="n">
        <f aca="false">180 - AP228 -0.1468*(1-0.0549*SIN(R228))*SIN($A$4*AP228)/(1-0.0167*SIN($A$4*AO228))</f>
        <v>129.935518024515</v>
      </c>
      <c r="AR228" s="25" t="n">
        <f aca="false">SIN($A$4*AI228)</f>
        <v>-0.674554447590983</v>
      </c>
      <c r="AS228" s="25" t="n">
        <f aca="false">COS($A$4*AI228)*SIN($A$4*$G$2) - TAN($A$4*AG228)*COS($A$4*$G$2)</f>
        <v>0.755958040234839</v>
      </c>
      <c r="AT228" s="25" t="n">
        <f aca="false">IF(OR(AND(AR228*AS228&gt;0), AND(AR228&lt;0,AS228&gt;0)), MOD(ATAN2(AS228,AR228)/$A$4+360,360),  ATAN2(AS228,AR228)/$A$4)</f>
        <v>318.256915043977</v>
      </c>
      <c r="AU228" s="29" t="n">
        <f aca="false">(1+SIN($A$4*H228)*SIN($A$4*AJ228))*120*ASIN(0.272481*SIN($A$4*AJ228))/$A$4</f>
        <v>32.1960528349312</v>
      </c>
      <c r="AV228" s="10" t="n">
        <f aca="false">COS(X228)</f>
        <v>-0.0757338897036145</v>
      </c>
      <c r="AW228" s="10" t="n">
        <f aca="false">SIN(X228)</f>
        <v>-0.997128064969772</v>
      </c>
      <c r="AX228" s="30" t="n">
        <f aca="false"> 385000.56 + (-20905355*COS(Q228) - 3699111*COS(2*S228-Q228) - 2955968*COS(2*S228) - 569925*COS(2*Q228) + (1-0.002516*M228)*48888*COS(R228) - 3149*COS(2*T228)  +246158*COS(2*S228-2*Q228) -(1-0.002516*M228)*152138*COS(2*S228-R228-Q228) -170733*COS(2*S228+Q228) -(1-0.002516*M228)*204586*COS(2*S228-R228) -(1-0.002516*M228)*129620*COS(R228-Q228)  + 108743*COS(S228) +(1-0.002516*M228)*104755*COS(R228+Q228) +10321*COS(2*S228-2*T228) +79661*COS(Q228-2*T228) -34782*COS(4*S228-Q228) -23210*COS(3*Q228)  -21636*COS(4*S228-2*Q228) +(1-0.002516*M228)*24208*COS(2*S228+R228-Q228) +(1-0.002516*M228)*30824*COS(2*S228+R228) -8379*COS(S228-Q228) -(1-0.002516*M228)*16675*COS(S228+R228)  -(1-0.002516*M228)*12831*COS(2*S228-R228+Q228) -10445*COS(2*S228+2*Q228) -11650*COS(4*S228) +14403*COS(2*S228-3*Q228) -(1-0.002516*M228)*7003*COS(R228-2*Q228)  + (1-0.002516*M228)*10056*COS(2*S228-R228-2*Q228) +6322*COS(S228+Q228) -(1-0.002516*M228)*(1-0.002516*M228)*9884*COS(2*S228-2*R228) +(1-0.002516*M228)*5751*COS(R228+2*Q228) -(1-0.002516*M228)*(1-0.002516*M228)*4950*COS(2*S228-2*R228-Q228)  +4130*COS(2*S228+Q228-2*T228) -(1-0.002516*M228)*3958*COS(4*S228-R228-Q228) +3258*COS(3*S228-Q228) +(1-0.002516*M228)*2616*COS(2*S228+R228+Q228) -(1-0.002516*M228)*1897*COS(4*S228-R228-2*Q228)  -(1-0.002516*M228)*(1-0.002516*M228)*2117*COS(2*R228-Q228) +(1-0.002516*M228)*(1-0.002516*M228)*2354*COS(2*S228+2*R228-Q228) -1423*COS(4*S228+Q228) -1117*COS(4*Q228) -(1-0.002516*M228)*1571*COS(4*S228-R228)  -1739*COS(S228-2*Q228) -4421*COS(2*Q228-2*T228) +(1-0.002516*M228)*(1-0.002516*M228)*1165*COS(2*R228+Q228) +8752*COS(2*S228-Q228-2*T228))/1000</f>
        <v>368347.883638004</v>
      </c>
      <c r="AY228" s="10" t="n">
        <f aca="false">IF($A$7&gt;28,AY227+1/8,"")</f>
        <v>29.25</v>
      </c>
      <c r="AZ228" s="17" t="n">
        <f aca="false">AZ227+1</f>
        <v>227</v>
      </c>
      <c r="BA228" s="32" t="n">
        <f aca="false">ATAN(0.99664719*TAN($A$4*input!$E$2))</f>
        <v>-0.400219206115995</v>
      </c>
      <c r="BB228" s="32" t="n">
        <f aca="false">COS(BA228)</f>
        <v>0.920975608992155</v>
      </c>
      <c r="BC228" s="32" t="n">
        <f aca="false">0.99664719*SIN(BA228)</f>
        <v>-0.388313912533463</v>
      </c>
      <c r="BD228" s="32" t="n">
        <f aca="false">6378.14/AX228</f>
        <v>0.0173155331775115</v>
      </c>
      <c r="BE228" s="33" t="n">
        <f aca="false">MOD(N228-15*AH228,360)</f>
        <v>222.419560053847</v>
      </c>
      <c r="BF228" s="27" t="n">
        <f aca="false">COS($A$4*AG228)*SIN($A$4*BE228)</f>
        <v>-0.601431023011419</v>
      </c>
      <c r="BG228" s="27" t="n">
        <f aca="false">COS($A$4*AG228)*COS($A$4*BE228)-BB228*BD228</f>
        <v>-0.674146797205914</v>
      </c>
      <c r="BH228" s="27" t="n">
        <f aca="false">SIN($A$4*AG228)-BC228*BD228</f>
        <v>-0.446105016234158</v>
      </c>
      <c r="BI228" s="46" t="n">
        <f aca="false">SQRT(BF228^2+BG228^2+BH228^2)</f>
        <v>1.00757275922527</v>
      </c>
      <c r="BJ228" s="35" t="n">
        <f aca="false">AX228*BI228</f>
        <v>371137.293471934</v>
      </c>
    </row>
    <row r="229" customFormat="false" ht="15" hidden="false" customHeight="false" outlineLevel="0" collapsed="false">
      <c r="A229" s="20"/>
      <c r="B229" s="20"/>
      <c r="C229" s="15" t="n">
        <f aca="false">MOD(C228+3,24)</f>
        <v>9</v>
      </c>
      <c r="D229" s="17" t="n">
        <v>29</v>
      </c>
      <c r="E229" s="102" t="n">
        <f aca="false">input!$C$2</f>
        <v>10</v>
      </c>
      <c r="F229" s="102" t="n">
        <f aca="false">input!$D$2</f>
        <v>2022</v>
      </c>
      <c r="H229" s="39" t="n">
        <f aca="false">AM229</f>
        <v>5.57386160014206</v>
      </c>
      <c r="I229" s="48" t="n">
        <f aca="false">H229+1.02/(TAN($A$4*(H229+10.3/(H229+5.11)))*60)</f>
        <v>5.72219550481025</v>
      </c>
      <c r="J229" s="39" t="n">
        <f aca="false">100*(1+COS($A$4*AQ229))/2</f>
        <v>19.0349784816871</v>
      </c>
      <c r="K229" s="48" t="n">
        <f aca="false">IF(AI229&gt;180,AT229-180,AT229+180)</f>
        <v>116.694466101607</v>
      </c>
      <c r="L229" s="10" t="n">
        <f aca="false">L228+1/8</f>
        <v>2459881.875</v>
      </c>
      <c r="M229" s="49" t="n">
        <f aca="false">(L229-2451545)/36525</f>
        <v>0.228251197809719</v>
      </c>
      <c r="N229" s="15" t="n">
        <f aca="false">MOD(280.46061837+360.98564736629*(L229-2451545)+0.000387933*M229^2-M229^3/38710000+$G$4,360)</f>
        <v>172.679525419138</v>
      </c>
      <c r="O229" s="18" t="n">
        <f aca="false">0.60643382+1336.85522467*M229 - 0.00000313*M229^2 - INT(0.60643382+1336.85522467*M229 - 0.00000313*M229^2)</f>
        <v>0.74523998604036</v>
      </c>
      <c r="P229" s="15" t="n">
        <f aca="false">22640*SIN(Q229)-4586*SIN(Q229-2*S229)+2370*SIN(2*S229)+769*SIN(2*Q229)-668*SIN(R229)-412*SIN(2*T229)-212*SIN(2*Q229-2*S229)-206*SIN(Q229+R229-2*S229)+192*SIN(Q229+2*S229)-165*SIN(R229-2*S229)-125*SIN(S229)-110*SIN(Q229+R229)+148*SIN(Q229-R229)-55*SIN(2*T229-2*S229)</f>
        <v>-3016.67206919532</v>
      </c>
      <c r="Q229" s="18" t="n">
        <f aca="false">2*PI()*(0.374897+1325.55241*M229 - INT(0.374897+1325.55241*M229))</f>
        <v>5.86737881914857</v>
      </c>
      <c r="R229" s="26" t="n">
        <f aca="false">2*PI()*(0.99312619+99.99735956*M229 - 0.00000044*M229^2 - INT(0.99312619+99.99735956*M229- 0.00000044*M229^2))</f>
        <v>5.13740414574308</v>
      </c>
      <c r="S229" s="26" t="n">
        <f aca="false">2*PI()*(0.827361+1236.853086*M229 - INT(0.827361+1236.853086*M229))</f>
        <v>0.883160720095702</v>
      </c>
      <c r="T229" s="26" t="n">
        <f aca="false">2*PI()*(0.259086+1342.227825*M229 - INT(0.259086+1342.227825*M229))</f>
        <v>3.92193153199129</v>
      </c>
      <c r="U229" s="26" t="n">
        <f aca="false">T229+(P229+412*SIN(2*T229)+541*SIN(R229))/206264.8062</f>
        <v>3.9069141289302</v>
      </c>
      <c r="V229" s="26" t="n">
        <f aca="false">T229-2*S229</f>
        <v>2.15561009179988</v>
      </c>
      <c r="W229" s="25" t="n">
        <f aca="false">-526*SIN(V229)+44*SIN(Q229+V229)-31*SIN(-Q229+V229)-23*SIN(R229+V229)+11*SIN(-R229+V229)-25*SIN(-2*Q229+T229)+21*SIN(-Q229+T229)</f>
        <v>-427.73659859369</v>
      </c>
      <c r="X229" s="26" t="n">
        <f aca="false">2*PI()*(O229+P229/1296000-INT(O229+P229/1296000))</f>
        <v>4.66785569170584</v>
      </c>
      <c r="Y229" s="26" t="n">
        <f aca="false">(18520*SIN(U229)+W229)/206264.8062</f>
        <v>-0.0642757060904623</v>
      </c>
      <c r="Z229" s="26" t="n">
        <f aca="false">Y229*180/PI()</f>
        <v>-3.68272668420681</v>
      </c>
      <c r="AA229" s="26" t="n">
        <f aca="false">COS(Y229)*COS(X229)</f>
        <v>-0.0444266406931292</v>
      </c>
      <c r="AB229" s="26" t="n">
        <f aca="false">COS(Y229)*SIN(X229)</f>
        <v>-0.996945632151681</v>
      </c>
      <c r="AC229" s="26" t="n">
        <f aca="false">SIN(Y229)</f>
        <v>-0.0642314574831358</v>
      </c>
      <c r="AD229" s="26" t="n">
        <f aca="false">COS($A$4*(23.4393-46.815*M229/3600))*AB229-SIN($A$4*(23.4393-46.815*M229/3600))*AC229</f>
        <v>-0.889153452932637</v>
      </c>
      <c r="AE229" s="26" t="n">
        <f aca="false">SIN($A$4*(23.4393-46.815*M229/3600))*AB229+COS($A$4*(23.4393-46.815*M229/3600))*AC229</f>
        <v>-0.455447484057923</v>
      </c>
      <c r="AF229" s="26" t="n">
        <f aca="false">SQRT(1-AE229*AE229)</f>
        <v>0.890262651842314</v>
      </c>
      <c r="AG229" s="10" t="n">
        <f aca="false">ATAN(AE229/AF229)/$A$4</f>
        <v>-27.0937298357442</v>
      </c>
      <c r="AH229" s="26" t="n">
        <f aca="false">IF(24*ATAN(AD229/(AA229+AF229))/PI()&gt;0,24*ATAN(AD229/(AA229+AF229))/PI(),24*ATAN(AD229/(AA229+AF229))/PI()+24)</f>
        <v>17.8093059630323</v>
      </c>
      <c r="AI229" s="10" t="n">
        <f aca="false">IF(N229-15*AH229&gt;0,N229-15*AH229,360+N229-15*AH229)</f>
        <v>265.539935973654</v>
      </c>
      <c r="AJ229" s="18" t="n">
        <f aca="false">0.950724+0.051818*COS(Q229)+0.009531*COS(2*S229-Q229)+0.007843*COS(2*S229)+0.002824*COS(2*Q229)+0.000857*COS(2*S229+Q229)+0.000533*COS(2*S229-R229)+0.000401*COS(2*S229-R229-Q229)+0.00032*COS(Q229-R229)-0.000271*COS(S229)</f>
        <v>0.992375595600448</v>
      </c>
      <c r="AK229" s="50" t="n">
        <f aca="false">ASIN(COS($A$4*$G$2)*COS($A$4*AG229)*COS($A$4*AI229)+SIN($A$4*$G$2)*SIN($A$4*AG229))/$A$4</f>
        <v>6.55923949531349</v>
      </c>
      <c r="AL229" s="18" t="n">
        <f aca="false">ASIN((0.9983271+0.0016764*COS($A$4*2*$G$2))*COS($A$4*AK229)*SIN($A$4*AJ229))/$A$4</f>
        <v>0.985377895171429</v>
      </c>
      <c r="AM229" s="18" t="n">
        <f aca="false">AK229-AL229</f>
        <v>5.57386160014206</v>
      </c>
      <c r="AN229" s="10" t="n">
        <f aca="false"> IF(280.4664567 + 360007.6982779*M229/10 + 0.03032028*M229^2/100 + M229^3/49931000&lt;0,MOD(280.4664567 + 360007.6982779*M229/10 + 0.03032028*M229^2/100 + M229^3/49931000+360,360),MOD(280.4664567 + 360007.6982779*M229/10 + 0.03032028*M229^2/100 + M229^3/49931000,360))</f>
        <v>217.685307761754</v>
      </c>
      <c r="AO229" s="27" t="n">
        <f aca="false"> AN229 + (1.9146 - 0.004817*M229 - 0.000014*M229^2)*SIN(R229)+ (0.019993 - 0.000101*M229)*SIN(2*R229)+ 0.00029*SIN(3*R229)</f>
        <v>215.927128401312</v>
      </c>
      <c r="AP229" s="18" t="n">
        <f aca="false">ACOS(COS(X229-$A$4*AO229)*COS(Y229))/$A$4</f>
        <v>51.6152804465735</v>
      </c>
      <c r="AQ229" s="25" t="n">
        <f aca="false">180 - AP229 -0.1468*(1-0.0549*SIN(R229))*SIN($A$4*AP229)/(1-0.0167*SIN($A$4*AO229))</f>
        <v>128.265066171491</v>
      </c>
      <c r="AR229" s="25" t="n">
        <f aca="false">SIN($A$4*AI229)</f>
        <v>-0.99697177866933</v>
      </c>
      <c r="AS229" s="25" t="n">
        <f aca="false">COS($A$4*AI229)*SIN($A$4*$G$2) - TAN($A$4*AG229)*COS($A$4*$G$2)</f>
        <v>0.501303922496896</v>
      </c>
      <c r="AT229" s="25" t="n">
        <f aca="false">IF(OR(AND(AR229*AS229&gt;0), AND(AR229&lt;0,AS229&gt;0)), MOD(ATAN2(AS229,AR229)/$A$4+360,360),  ATAN2(AS229,AR229)/$A$4)</f>
        <v>296.694466101607</v>
      </c>
      <c r="AU229" s="29" t="n">
        <f aca="false">(1+SIN($A$4*H229)*SIN($A$4*AJ229))*120*ASIN(0.272481*SIN($A$4*AJ229))/$A$4</f>
        <v>32.5014999624445</v>
      </c>
      <c r="AV229" s="10" t="n">
        <f aca="false">COS(X229)</f>
        <v>-0.0445185702996261</v>
      </c>
      <c r="AW229" s="10" t="n">
        <f aca="false">SIN(X229)</f>
        <v>-0.999008556969597</v>
      </c>
      <c r="AX229" s="30" t="n">
        <f aca="false"> 385000.56 + (-20905355*COS(Q229) - 3699111*COS(2*S229-Q229) - 2955968*COS(2*S229) - 569925*COS(2*Q229) + (1-0.002516*M229)*48888*COS(R229) - 3149*COS(2*T229)  +246158*COS(2*S229-2*Q229) -(1-0.002516*M229)*152138*COS(2*S229-R229-Q229) -170733*COS(2*S229+Q229) -(1-0.002516*M229)*204586*COS(2*S229-R229) -(1-0.002516*M229)*129620*COS(R229-Q229)  + 108743*COS(S229) +(1-0.002516*M229)*104755*COS(R229+Q229) +10321*COS(2*S229-2*T229) +79661*COS(Q229-2*T229) -34782*COS(4*S229-Q229) -23210*COS(3*Q229)  -21636*COS(4*S229-2*Q229) +(1-0.002516*M229)*24208*COS(2*S229+R229-Q229) +(1-0.002516*M229)*30824*COS(2*S229+R229) -8379*COS(S229-Q229) -(1-0.002516*M229)*16675*COS(S229+R229)  -(1-0.002516*M229)*12831*COS(2*S229-R229+Q229) -10445*COS(2*S229+2*Q229) -11650*COS(4*S229) +14403*COS(2*S229-3*Q229) -(1-0.002516*M229)*7003*COS(R229-2*Q229)  + (1-0.002516*M229)*10056*COS(2*S229-R229-2*Q229) +6322*COS(S229+Q229) -(1-0.002516*M229)*(1-0.002516*M229)*9884*COS(2*S229-2*R229) +(1-0.002516*M229)*5751*COS(R229+2*Q229) -(1-0.002516*M229)*(1-0.002516*M229)*4950*COS(2*S229-2*R229-Q229)  +4130*COS(2*S229+Q229-2*T229) -(1-0.002516*M229)*3958*COS(4*S229-R229-Q229) +3258*COS(3*S229-Q229) +(1-0.002516*M229)*2616*COS(2*S229+R229+Q229) -(1-0.002516*M229)*1897*COS(4*S229-R229-2*Q229)  -(1-0.002516*M229)*(1-0.002516*M229)*2117*COS(2*R229-Q229) +(1-0.002516*M229)*(1-0.002516*M229)*2354*COS(2*S229+2*R229-Q229) -1423*COS(4*S229+Q229) -1117*COS(4*Q229) -(1-0.002516*M229)*1571*COS(4*S229-R229)  -1739*COS(S229-2*Q229) -4421*COS(2*Q229-2*T229) +(1-0.002516*M229)*(1-0.002516*M229)*1165*COS(2*R229+Q229) +8752*COS(2*S229-Q229-2*T229))/1000</f>
        <v>368316.653847814</v>
      </c>
      <c r="AY229" s="10" t="n">
        <f aca="false">IF($A$7&gt;28,AY228+1/8,"")</f>
        <v>29.375</v>
      </c>
      <c r="AZ229" s="17" t="n">
        <f aca="false">AZ228+1</f>
        <v>228</v>
      </c>
      <c r="BA229" s="32" t="n">
        <f aca="false">ATAN(0.99664719*TAN($A$4*input!$E$2))</f>
        <v>-0.400219206115995</v>
      </c>
      <c r="BB229" s="32" t="n">
        <f aca="false">COS(BA229)</f>
        <v>0.920975608992155</v>
      </c>
      <c r="BC229" s="32" t="n">
        <f aca="false">0.99664719*SIN(BA229)</f>
        <v>-0.388313912533463</v>
      </c>
      <c r="BD229" s="32" t="n">
        <f aca="false">6378.14/AX229</f>
        <v>0.0173170013719646</v>
      </c>
      <c r="BE229" s="33" t="n">
        <f aca="false">MOD(N229-15*AH229,360)</f>
        <v>265.539935973654</v>
      </c>
      <c r="BF229" s="27" t="n">
        <f aca="false">COS($A$4*AG229)*SIN($A$4*BE229)</f>
        <v>-0.887566739490106</v>
      </c>
      <c r="BG229" s="27" t="n">
        <f aca="false">COS($A$4*AG229)*COS($A$4*BE229)-BB229*BD229</f>
        <v>-0.0851791087277564</v>
      </c>
      <c r="BH229" s="27" t="n">
        <f aca="false">SIN($A$4*AG229)-BC229*BD229</f>
        <v>-0.448723051501828</v>
      </c>
      <c r="BI229" s="46" t="n">
        <f aca="false">SQRT(BF229^2+BG229^2+BH229^2)</f>
        <v>0.998189648594827</v>
      </c>
      <c r="BJ229" s="35" t="n">
        <f aca="false">AX229*BI229</f>
        <v>367649.871275972</v>
      </c>
    </row>
    <row r="230" customFormat="false" ht="15" hidden="false" customHeight="false" outlineLevel="0" collapsed="false">
      <c r="A230" s="20"/>
      <c r="B230" s="20"/>
      <c r="C230" s="15" t="n">
        <f aca="false">MOD(C229+3,24)</f>
        <v>12</v>
      </c>
      <c r="D230" s="17" t="n">
        <v>29</v>
      </c>
      <c r="E230" s="102" t="n">
        <f aca="false">input!$C$2</f>
        <v>10</v>
      </c>
      <c r="F230" s="102" t="n">
        <f aca="false">input!$D$2</f>
        <v>2022</v>
      </c>
      <c r="H230" s="39" t="n">
        <f aca="false">AM230</f>
        <v>42.915884070386</v>
      </c>
      <c r="I230" s="48" t="n">
        <f aca="false">H230+1.02/(TAN($A$4*(H230+10.3/(H230+5.11)))*60)</f>
        <v>42.9340313879608</v>
      </c>
      <c r="J230" s="39" t="n">
        <f aca="false">100*(1+COS($A$4*AQ230))/2</f>
        <v>20.1922019306967</v>
      </c>
      <c r="K230" s="48" t="n">
        <f aca="false">IF(AI230&gt;180,AT230-180,AT230+180)</f>
        <v>106.390441504009</v>
      </c>
      <c r="L230" s="10" t="n">
        <f aca="false">L229+1/8</f>
        <v>2459882</v>
      </c>
      <c r="M230" s="49" t="n">
        <f aca="false">(L230-2451545)/36525</f>
        <v>0.228254620123203</v>
      </c>
      <c r="N230" s="15" t="n">
        <f aca="false">MOD(280.46061837+360.98564736629*(L230-2451545)+0.000387933*M230^2-M230^3/38710000+$G$4,360)</f>
        <v>217.802731340751</v>
      </c>
      <c r="O230" s="18" t="n">
        <f aca="false">0.60643382+1336.85522467*M230 - 0.00000313*M230^2 - INT(0.60643382+1336.85522467*M230 - 0.00000313*M230^2)</f>
        <v>0.749815123696919</v>
      </c>
      <c r="P230" s="15" t="n">
        <f aca="false">22640*SIN(Q230)-4586*SIN(Q230-2*S230)+2370*SIN(2*S230)+769*SIN(2*Q230)-668*SIN(R230)-412*SIN(2*T230)-212*SIN(2*Q230-2*S230)-206*SIN(Q230+R230-2*S230)+192*SIN(Q230+2*S230)-165*SIN(R230-2*S230)-125*SIN(S230)-110*SIN(Q230+R230)+148*SIN(Q230-R230)-55*SIN(2*T230-2*S230)</f>
        <v>-2495.14668344723</v>
      </c>
      <c r="Q230" s="18" t="n">
        <f aca="false">2*PI()*(0.374897+1325.55241*M230 - INT(0.374897+1325.55241*M230))</f>
        <v>5.89588221212072</v>
      </c>
      <c r="R230" s="26" t="n">
        <f aca="false">2*PI()*(0.99312619+99.99735956*M230 - 0.00000044*M230^2 - INT(0.99312619+99.99735956*M230- 0.00000044*M230^2))</f>
        <v>5.13955439194116</v>
      </c>
      <c r="S230" s="26" t="n">
        <f aca="false">2*PI()*(0.827361+1236.853086*M230 - INT(0.827361+1236.853086*M230))</f>
        <v>0.909756808860624</v>
      </c>
      <c r="T230" s="26" t="n">
        <f aca="false">2*PI()*(0.259086+1342.227825*M230 - INT(0.259086+1342.227825*M230))</f>
        <v>3.95079349690904</v>
      </c>
      <c r="U230" s="26" t="n">
        <f aca="false">T230+(P230+412*SIN(2*T230)+541*SIN(R230))/206264.8062</f>
        <v>3.93830469057759</v>
      </c>
      <c r="V230" s="26" t="n">
        <f aca="false">T230-2*S230</f>
        <v>2.1312798791878</v>
      </c>
      <c r="W230" s="25" t="n">
        <f aca="false">-526*SIN(V230)+44*SIN(Q230+V230)-31*SIN(-Q230+V230)-23*SIN(R230+V230)+11*SIN(-R230+V230)-25*SIN(-2*Q230+T230)+21*SIN(-Q230+T230)</f>
        <v>-435.476385705231</v>
      </c>
      <c r="X230" s="26" t="n">
        <f aca="false">2*PI()*(O230+P230/1296000-INT(O230+P230/1296000))</f>
        <v>4.69913055582842</v>
      </c>
      <c r="Y230" s="26" t="n">
        <f aca="false">(18520*SIN(U230)+W230)/206264.8062</f>
        <v>-0.0663148265151953</v>
      </c>
      <c r="Z230" s="26" t="n">
        <f aca="false">Y230*180/PI()</f>
        <v>-3.79955967846293</v>
      </c>
      <c r="AA230" s="26" t="n">
        <f aca="false">COS(Y230)*COS(X230)</f>
        <v>-0.0132288946585554</v>
      </c>
      <c r="AB230" s="26" t="n">
        <f aca="false">COS(Y230)*SIN(X230)</f>
        <v>-0.997714279145946</v>
      </c>
      <c r="AC230" s="26" t="n">
        <f aca="false">SIN(Y230)</f>
        <v>-0.0662662322333033</v>
      </c>
      <c r="AD230" s="26" t="n">
        <f aca="false">COS($A$4*(23.4393-46.815*M230/3600))*AB230-SIN($A$4*(23.4393-46.815*M230/3600))*AC230</f>
        <v>-0.889049398420276</v>
      </c>
      <c r="AE230" s="26" t="n">
        <f aca="false">SIN($A$4*(23.4393-46.815*M230/3600))*AB230+COS($A$4*(23.4393-46.815*M230/3600))*AC230</f>
        <v>-0.457620108293614</v>
      </c>
      <c r="AF230" s="26" t="n">
        <f aca="false">SQRT(1-AE230*AE230)</f>
        <v>0.889147814755984</v>
      </c>
      <c r="AG230" s="10" t="n">
        <f aca="false">ATAN(AE230/AF230)/$A$4</f>
        <v>-27.2336437450425</v>
      </c>
      <c r="AH230" s="26" t="n">
        <f aca="false">IF(24*ATAN(AD230/(AA230+AF230))/PI()&gt;0,24*ATAN(AD230/(AA230+AF230))/PI(),24*ATAN(AD230/(AA230+AF230))/PI()+24)</f>
        <v>17.9431674699878</v>
      </c>
      <c r="AI230" s="10" t="n">
        <f aca="false">IF(N230-15*AH230&gt;0,N230-15*AH230,360+N230-15*AH230)</f>
        <v>308.655219290935</v>
      </c>
      <c r="AJ230" s="18" t="n">
        <f aca="false">0.950724+0.051818*COS(Q230)+0.009531*COS(2*S230-Q230)+0.007843*COS(2*S230)+0.002824*COS(2*Q230)+0.000857*COS(2*S230+Q230)+0.000533*COS(2*S230-R230)+0.000401*COS(2*S230-R230-Q230)+0.00032*COS(Q230-R230)-0.000271*COS(S230)</f>
        <v>0.992398099950512</v>
      </c>
      <c r="AK230" s="50" t="n">
        <f aca="false">ASIN(COS($A$4*$G$2)*COS($A$4*AG230)*COS($A$4*AI230)+SIN($A$4*$G$2)*SIN($A$4*AG230))/$A$4</f>
        <v>43.6337651534925</v>
      </c>
      <c r="AL230" s="18" t="n">
        <f aca="false">ASIN((0.9983271+0.0016764*COS($A$4*2*$G$2))*COS($A$4*AK230)*SIN($A$4*AJ230))/$A$4</f>
        <v>0.717881083106515</v>
      </c>
      <c r="AM230" s="18" t="n">
        <f aca="false">AK230-AL230</f>
        <v>42.915884070386</v>
      </c>
      <c r="AN230" s="10" t="n">
        <f aca="false"> IF(280.4664567 + 360007.6982779*M230/10 + 0.03032028*M230^2/100 + M230^3/49931000&lt;0,MOD(280.4664567 + 360007.6982779*M230/10 + 0.03032028*M230^2/100 + M230^3/49931000+360,360),MOD(280.4664567 + 360007.6982779*M230/10 + 0.03032028*M230^2/100 + M230^3/49931000,360))</f>
        <v>217.808513682241</v>
      </c>
      <c r="AO230" s="27" t="n">
        <f aca="false"> AN230 + (1.9146 - 0.004817*M230 - 0.000014*M230^2)*SIN(R230)+ (0.019993 - 0.000101*M230)*SIN(2*R230)+ 0.00029*SIN(3*R230)</f>
        <v>216.05197658459</v>
      </c>
      <c r="AP230" s="18" t="n">
        <f aca="false">ACOS(COS(X230-$A$4*AO230)*COS(Y230))/$A$4</f>
        <v>53.2825668265443</v>
      </c>
      <c r="AQ230" s="25" t="n">
        <f aca="false">180 - AP230 -0.1468*(1-0.0549*SIN(R230))*SIN($A$4*AP230)/(1-0.0167*SIN($A$4*AO230))</f>
        <v>126.59508190649</v>
      </c>
      <c r="AR230" s="25" t="n">
        <f aca="false">SIN($A$4*AI230)</f>
        <v>-0.780918840336702</v>
      </c>
      <c r="AS230" s="25" t="n">
        <f aca="false">COS($A$4*AI230)*SIN($A$4*$G$2) - TAN($A$4*AG230)*COS($A$4*$G$2)</f>
        <v>0.229695357024068</v>
      </c>
      <c r="AT230" s="25" t="n">
        <f aca="false">IF(OR(AND(AR230*AS230&gt;0), AND(AR230&lt;0,AS230&gt;0)), MOD(ATAN2(AS230,AR230)/$A$4+360,360),  ATAN2(AS230,AR230)/$A$4)</f>
        <v>286.390441504009</v>
      </c>
      <c r="AU230" s="29" t="n">
        <f aca="false">(1+SIN($A$4*H230)*SIN($A$4*AJ230))*120*ASIN(0.272481*SIN($A$4*AJ230))/$A$4</f>
        <v>32.8303223518628</v>
      </c>
      <c r="AV230" s="10" t="n">
        <f aca="false">COS(X230)</f>
        <v>-0.0132580361191703</v>
      </c>
      <c r="AW230" s="10" t="n">
        <f aca="false">SIN(X230)</f>
        <v>-0.999912108376663</v>
      </c>
      <c r="AX230" s="30" t="n">
        <f aca="false"> 385000.56 + (-20905355*COS(Q230) - 3699111*COS(2*S230-Q230) - 2955968*COS(2*S230) - 569925*COS(2*Q230) + (1-0.002516*M230)*48888*COS(R230) - 3149*COS(2*T230)  +246158*COS(2*S230-2*Q230) -(1-0.002516*M230)*152138*COS(2*S230-R230-Q230) -170733*COS(2*S230+Q230) -(1-0.002516*M230)*204586*COS(2*S230-R230) -(1-0.002516*M230)*129620*COS(R230-Q230)  + 108743*COS(S230) +(1-0.002516*M230)*104755*COS(R230+Q230) +10321*COS(2*S230-2*T230) +79661*COS(Q230-2*T230) -34782*COS(4*S230-Q230) -23210*COS(3*Q230)  -21636*COS(4*S230-2*Q230) +(1-0.002516*M230)*24208*COS(2*S230+R230-Q230) +(1-0.002516*M230)*30824*COS(2*S230+R230) -8379*COS(S230-Q230) -(1-0.002516*M230)*16675*COS(S230+R230)  -(1-0.002516*M230)*12831*COS(2*S230-R230+Q230) -10445*COS(2*S230+2*Q230) -11650*COS(4*S230) +14403*COS(2*S230-3*Q230) -(1-0.002516*M230)*7003*COS(R230-2*Q230)  + (1-0.002516*M230)*10056*COS(2*S230-R230-2*Q230) +6322*COS(S230+Q230) -(1-0.002516*M230)*(1-0.002516*M230)*9884*COS(2*S230-2*R230) +(1-0.002516*M230)*5751*COS(R230+2*Q230) -(1-0.002516*M230)*(1-0.002516*M230)*4950*COS(2*S230-2*R230-Q230)  +4130*COS(2*S230+Q230-2*T230) -(1-0.002516*M230)*3958*COS(4*S230-R230-Q230) +3258*COS(3*S230-Q230) +(1-0.002516*M230)*2616*COS(2*S230+R230+Q230) -(1-0.002516*M230)*1897*COS(4*S230-R230-2*Q230)  -(1-0.002516*M230)*(1-0.002516*M230)*2117*COS(2*R230-Q230) +(1-0.002516*M230)*(1-0.002516*M230)*2354*COS(2*S230+2*R230-Q230) -1423*COS(4*S230+Q230) -1117*COS(4*Q230) -(1-0.002516*M230)*1571*COS(4*S230-R230)  -1739*COS(S230-2*Q230) -4421*COS(2*Q230-2*T230) +(1-0.002516*M230)*(1-0.002516*M230)*1165*COS(2*R230+Q230) +8752*COS(2*S230-Q230-2*T230))/1000</f>
        <v>368298.670771709</v>
      </c>
      <c r="AY230" s="10" t="n">
        <f aca="false">IF($A$7&gt;28,AY229+1/8,"")</f>
        <v>29.5</v>
      </c>
      <c r="AZ230" s="17" t="n">
        <f aca="false">AZ229+1</f>
        <v>229</v>
      </c>
      <c r="BA230" s="32" t="n">
        <f aca="false">ATAN(0.99664719*TAN($A$4*input!$E$2))</f>
        <v>-0.400219206115995</v>
      </c>
      <c r="BB230" s="32" t="n">
        <f aca="false">COS(BA230)</f>
        <v>0.920975608992155</v>
      </c>
      <c r="BC230" s="32" t="n">
        <f aca="false">0.99664719*SIN(BA230)</f>
        <v>-0.388313912533463</v>
      </c>
      <c r="BD230" s="32" t="n">
        <f aca="false">6378.14/AX230</f>
        <v>0.0173178469165682</v>
      </c>
      <c r="BE230" s="33" t="n">
        <f aca="false">MOD(N230-15*AH230,360)</f>
        <v>308.655219290935</v>
      </c>
      <c r="BF230" s="27" t="n">
        <f aca="false">COS($A$4*AG230)*SIN($A$4*BE230)</f>
        <v>-0.694352280387156</v>
      </c>
      <c r="BG230" s="27" t="n">
        <f aca="false">COS($A$4*AG230)*COS($A$4*BE230)-BB230*BD230</f>
        <v>0.53944131117156</v>
      </c>
      <c r="BH230" s="27" t="n">
        <f aca="false">SIN($A$4*AG230)-BC230*BD230</f>
        <v>-0.450895347400785</v>
      </c>
      <c r="BI230" s="46" t="n">
        <f aca="false">SQRT(BF230^2+BG230^2+BH230^2)</f>
        <v>0.98814403392674</v>
      </c>
      <c r="BJ230" s="35" t="n">
        <f aca="false">AX230*BI230</f>
        <v>363932.134226212</v>
      </c>
    </row>
    <row r="231" customFormat="false" ht="15" hidden="false" customHeight="false" outlineLevel="0" collapsed="false">
      <c r="A231" s="20"/>
      <c r="B231" s="20"/>
      <c r="C231" s="15" t="n">
        <f aca="false">MOD(C230+3,24)</f>
        <v>15</v>
      </c>
      <c r="D231" s="17" t="n">
        <v>29</v>
      </c>
      <c r="E231" s="102" t="n">
        <f aca="false">input!$C$2</f>
        <v>10</v>
      </c>
      <c r="F231" s="102" t="n">
        <f aca="false">input!$D$2</f>
        <v>2022</v>
      </c>
      <c r="H231" s="39" t="n">
        <f aca="false">AM231</f>
        <v>81.2291540275735</v>
      </c>
      <c r="I231" s="48" t="n">
        <f aca="false">H231+1.02/(TAN($A$4*(H231+10.3/(H231+5.11)))*60)</f>
        <v>81.2317406827065</v>
      </c>
      <c r="J231" s="39" t="n">
        <f aca="false">100*(1+COS($A$4*AQ231))/2</f>
        <v>21.3743173344107</v>
      </c>
      <c r="K231" s="48" t="n">
        <f aca="false">IF(AI231&gt;180,AT231-180,AT231+180)</f>
        <v>121.951405519977</v>
      </c>
      <c r="L231" s="10" t="n">
        <f aca="false">L230+1/8</f>
        <v>2459882.125</v>
      </c>
      <c r="M231" s="49" t="n">
        <f aca="false">(L231-2451545)/36525</f>
        <v>0.228258042436687</v>
      </c>
      <c r="N231" s="15" t="n">
        <f aca="false">MOD(280.46061837+360.98564736629*(L231-2451545)+0.000387933*M231^2-M231^3/38710000+$G$4,360)</f>
        <v>262.925937262364</v>
      </c>
      <c r="O231" s="18" t="n">
        <f aca="false">0.60643382+1336.85522467*M231 - 0.00000313*M231^2 - INT(0.60643382+1336.85522467*M231 - 0.00000313*M231^2)</f>
        <v>0.754390261353478</v>
      </c>
      <c r="P231" s="15" t="n">
        <f aca="false">22640*SIN(Q231)-4586*SIN(Q231-2*S231)+2370*SIN(2*S231)+769*SIN(2*Q231)-668*SIN(R231)-412*SIN(2*T231)-212*SIN(2*Q231-2*S231)-206*SIN(Q231+R231-2*S231)+192*SIN(Q231+2*S231)-165*SIN(R231-2*S231)-125*SIN(S231)-110*SIN(Q231+R231)+148*SIN(Q231-R231)-55*SIN(2*T231-2*S231)</f>
        <v>-1973.73441208691</v>
      </c>
      <c r="Q231" s="18" t="n">
        <f aca="false">2*PI()*(0.374897+1325.55241*M231 - INT(0.374897+1325.55241*M231))</f>
        <v>5.92438560509288</v>
      </c>
      <c r="R231" s="26" t="n">
        <f aca="false">2*PI()*(0.99312619+99.99735956*M231 - 0.00000044*M231^2 - INT(0.99312619+99.99735956*M231- 0.00000044*M231^2))</f>
        <v>5.14170463813926</v>
      </c>
      <c r="S231" s="26" t="n">
        <f aca="false">2*PI()*(0.827361+1236.853086*M231 - INT(0.827361+1236.853086*M231))</f>
        <v>0.936352897625547</v>
      </c>
      <c r="T231" s="26" t="n">
        <f aca="false">2*PI()*(0.259086+1342.227825*M231 - INT(0.259086+1342.227825*M231))</f>
        <v>3.9796554618268</v>
      </c>
      <c r="U231" s="26" t="n">
        <f aca="false">T231+(P231+412*SIN(2*T231)+541*SIN(R231))/206264.8062</f>
        <v>3.96968806870545</v>
      </c>
      <c r="V231" s="26" t="n">
        <f aca="false">T231-2*S231</f>
        <v>2.10694966657571</v>
      </c>
      <c r="W231" s="25" t="n">
        <f aca="false">-526*SIN(V231)+44*SIN(Q231+V231)-31*SIN(-Q231+V231)-23*SIN(R231+V231)+11*SIN(-R231+V231)-25*SIN(-2*Q231+T231)+21*SIN(-Q231+T231)</f>
        <v>-442.912059624717</v>
      </c>
      <c r="X231" s="26" t="n">
        <f aca="false">2*PI()*(O231+P231/1296000-INT(O231+P231/1296000))</f>
        <v>4.73040487155698</v>
      </c>
      <c r="Y231" s="26" t="n">
        <f aca="false">(18520*SIN(U231)+W231)/206264.8062</f>
        <v>-0.0682887774503746</v>
      </c>
      <c r="Z231" s="26" t="n">
        <f aca="false">Y231*180/PI()</f>
        <v>-3.91265873601461</v>
      </c>
      <c r="AA231" s="26" t="n">
        <f aca="false">COS(Y231)*COS(X231)</f>
        <v>0.017972927937741</v>
      </c>
      <c r="AB231" s="26" t="n">
        <f aca="false">COS(Y231)*SIN(X231)</f>
        <v>-0.997507323881118</v>
      </c>
      <c r="AC231" s="26" t="n">
        <f aca="false">SIN(Y231)</f>
        <v>-0.0682357139984229</v>
      </c>
      <c r="AD231" s="26" t="n">
        <f aca="false">COS($A$4*(23.4393-46.815*M231/3600))*AB231-SIN($A$4*(23.4393-46.815*M231/3600))*AC231</f>
        <v>-0.888076195259176</v>
      </c>
      <c r="AE231" s="26" t="n">
        <f aca="false">SIN($A$4*(23.4393-46.815*M231/3600))*AB231+COS($A$4*(23.4393-46.815*M231/3600))*AC231</f>
        <v>-0.459344799987255</v>
      </c>
      <c r="AF231" s="26" t="n">
        <f aca="false">SQRT(1-AE231*AE231)</f>
        <v>0.888258045122401</v>
      </c>
      <c r="AG231" s="10" t="n">
        <f aca="false">ATAN(AE231/AF231)/$A$4</f>
        <v>-27.3448367215294</v>
      </c>
      <c r="AH231" s="26" t="n">
        <f aca="false">IF(24*ATAN(AD231/(AA231+AF231))/PI()&gt;0,24*ATAN(AD231/(AA231+AF231))/PI(),24*ATAN(AD231/(AA231+AF231))/PI()+24)</f>
        <v>18.0772930945486</v>
      </c>
      <c r="AI231" s="10" t="n">
        <f aca="false">IF(N231-15*AH231&gt;0,N231-15*AH231,360+N231-15*AH231)</f>
        <v>351.766540844135</v>
      </c>
      <c r="AJ231" s="18" t="n">
        <f aca="false">0.950724+0.051818*COS(Q231)+0.009531*COS(2*S231-Q231)+0.007843*COS(2*S231)+0.002824*COS(2*Q231)+0.000857*COS(2*S231+Q231)+0.000533*COS(2*S231-R231)+0.000401*COS(2*S231-R231-Q231)+0.00032*COS(Q231-R231)-0.000271*COS(S231)</f>
        <v>0.99238471254626</v>
      </c>
      <c r="AK231" s="50" t="n">
        <f aca="false">ASIN(COS($A$4*$G$2)*COS($A$4*AG231)*COS($A$4*AI231)+SIN($A$4*$G$2)*SIN($A$4*AG231))/$A$4</f>
        <v>81.3778470862254</v>
      </c>
      <c r="AL231" s="18" t="n">
        <f aca="false">ASIN((0.9983271+0.0016764*COS($A$4*2*$G$2))*COS($A$4*AK231)*SIN($A$4*AJ231))/$A$4</f>
        <v>0.148693058651921</v>
      </c>
      <c r="AM231" s="18" t="n">
        <f aca="false">AK231-AL231</f>
        <v>81.2291540275735</v>
      </c>
      <c r="AN231" s="10" t="n">
        <f aca="false"> IF(280.4664567 + 360007.6982779*M231/10 + 0.03032028*M231^2/100 + M231^3/49931000&lt;0,MOD(280.4664567 + 360007.6982779*M231/10 + 0.03032028*M231^2/100 + M231^3/49931000+360,360),MOD(280.4664567 + 360007.6982779*M231/10 + 0.03032028*M231^2/100 + M231^3/49931000,360))</f>
        <v>217.931719602728</v>
      </c>
      <c r="AO231" s="27" t="n">
        <f aca="false"> AN231 + (1.9146 - 0.004817*M231 - 0.000014*M231^2)*SIN(R231)+ (0.019993 - 0.000101*M231)*SIN(2*R231)+ 0.00029*SIN(3*R231)</f>
        <v>216.176833095122</v>
      </c>
      <c r="AP231" s="18" t="n">
        <f aca="false">ACOS(COS(X231-$A$4*AO231)*COS(Y231))/$A$4</f>
        <v>54.9493585175291</v>
      </c>
      <c r="AQ231" s="25" t="n">
        <f aca="false">180 - AP231 -0.1468*(1-0.0549*SIN(R231))*SIN($A$4*AP231)/(1-0.0167*SIN($A$4*AO231))</f>
        <v>124.925697108648</v>
      </c>
      <c r="AR231" s="25" t="n">
        <f aca="false">SIN($A$4*AI231)</f>
        <v>-0.143206911388183</v>
      </c>
      <c r="AS231" s="25" t="n">
        <f aca="false">COS($A$4*AI231)*SIN($A$4*$G$2) - TAN($A$4*AG231)*COS($A$4*$G$2)</f>
        <v>0.0893168157860423</v>
      </c>
      <c r="AT231" s="25" t="n">
        <f aca="false">IF(OR(AND(AR231*AS231&gt;0), AND(AR231&lt;0,AS231&gt;0)), MOD(ATAN2(AS231,AR231)/$A$4+360,360),  ATAN2(AS231,AR231)/$A$4)</f>
        <v>301.951405519977</v>
      </c>
      <c r="AU231" s="29" t="n">
        <f aca="false">(1+SIN($A$4*H231)*SIN($A$4*AJ231))*120*ASIN(0.272481*SIN($A$4*AJ231))/$A$4</f>
        <v>33.0026139192241</v>
      </c>
      <c r="AV231" s="10" t="n">
        <f aca="false">COS(X231)</f>
        <v>0.0180149166114614</v>
      </c>
      <c r="AW231" s="10" t="n">
        <f aca="false">SIN(X231)</f>
        <v>-0.999837718222053</v>
      </c>
      <c r="AX231" s="30" t="n">
        <f aca="false"> 385000.56 + (-20905355*COS(Q231) - 3699111*COS(2*S231-Q231) - 2955968*COS(2*S231) - 569925*COS(2*Q231) + (1-0.002516*M231)*48888*COS(R231) - 3149*COS(2*T231)  +246158*COS(2*S231-2*Q231) -(1-0.002516*M231)*152138*COS(2*S231-R231-Q231) -170733*COS(2*S231+Q231) -(1-0.002516*M231)*204586*COS(2*S231-R231) -(1-0.002516*M231)*129620*COS(R231-Q231)  + 108743*COS(S231) +(1-0.002516*M231)*104755*COS(R231+Q231) +10321*COS(2*S231-2*T231) +79661*COS(Q231-2*T231) -34782*COS(4*S231-Q231) -23210*COS(3*Q231)  -21636*COS(4*S231-2*Q231) +(1-0.002516*M231)*24208*COS(2*S231+R231-Q231) +(1-0.002516*M231)*30824*COS(2*S231+R231) -8379*COS(S231-Q231) -(1-0.002516*M231)*16675*COS(S231+R231)  -(1-0.002516*M231)*12831*COS(2*S231-R231+Q231) -10445*COS(2*S231+2*Q231) -11650*COS(4*S231) +14403*COS(2*S231-3*Q231) -(1-0.002516*M231)*7003*COS(R231-2*Q231)  + (1-0.002516*M231)*10056*COS(2*S231-R231-2*Q231) +6322*COS(S231+Q231) -(1-0.002516*M231)*(1-0.002516*M231)*9884*COS(2*S231-2*R231) +(1-0.002516*M231)*5751*COS(R231+2*Q231) -(1-0.002516*M231)*(1-0.002516*M231)*4950*COS(2*S231-2*R231-Q231)  +4130*COS(2*S231+Q231-2*T231) -(1-0.002516*M231)*3958*COS(4*S231-R231-Q231) +3258*COS(3*S231-Q231) +(1-0.002516*M231)*2616*COS(2*S231+R231+Q231) -(1-0.002516*M231)*1897*COS(4*S231-R231-2*Q231)  -(1-0.002516*M231)*(1-0.002516*M231)*2117*COS(2*R231-Q231) +(1-0.002516*M231)*(1-0.002516*M231)*2354*COS(2*S231+2*R231-Q231) -1423*COS(4*S231+Q231) -1117*COS(4*Q231) -(1-0.002516*M231)*1571*COS(4*S231-R231)  -1739*COS(S231-2*Q231) -4421*COS(2*Q231-2*T231) +(1-0.002516*M231)*(1-0.002516*M231)*1165*COS(2*R231+Q231) +8752*COS(2*S231-Q231-2*T231))/1000</f>
        <v>368293.650089974</v>
      </c>
      <c r="AY231" s="10" t="n">
        <f aca="false">IF($A$7&gt;28,AY230+1/8,"")</f>
        <v>29.625</v>
      </c>
      <c r="AZ231" s="17" t="n">
        <f aca="false">AZ230+1</f>
        <v>230</v>
      </c>
      <c r="BA231" s="32" t="n">
        <f aca="false">ATAN(0.99664719*TAN($A$4*input!$E$2))</f>
        <v>-0.400219206115995</v>
      </c>
      <c r="BB231" s="32" t="n">
        <f aca="false">COS(BA231)</f>
        <v>0.920975608992155</v>
      </c>
      <c r="BC231" s="32" t="n">
        <f aca="false">0.99664719*SIN(BA231)</f>
        <v>-0.388313912533463</v>
      </c>
      <c r="BD231" s="32" t="n">
        <f aca="false">6378.14/AX231</f>
        <v>0.0173180829982863</v>
      </c>
      <c r="BE231" s="33" t="n">
        <f aca="false">MOD(N231-15*AH231,360)</f>
        <v>351.766540844135</v>
      </c>
      <c r="BF231" s="27" t="n">
        <f aca="false">COS($A$4*AG231)*SIN($A$4*BE231)</f>
        <v>-0.127204691157685</v>
      </c>
      <c r="BG231" s="27" t="n">
        <f aca="false">COS($A$4*AG231)*COS($A$4*BE231)-BB231*BD231</f>
        <v>0.863153033807305</v>
      </c>
      <c r="BH231" s="27" t="n">
        <f aca="false">SIN($A$4*AG231)-BC231*BD231</f>
        <v>-0.452619947420611</v>
      </c>
      <c r="BI231" s="46" t="n">
        <f aca="false">SQRT(BF231^2+BG231^2+BH231^2)</f>
        <v>0.982893183426517</v>
      </c>
      <c r="BJ231" s="35" t="n">
        <f aca="false">AX231*BI231</f>
        <v>361993.318172706</v>
      </c>
    </row>
    <row r="232" customFormat="false" ht="15" hidden="false" customHeight="false" outlineLevel="0" collapsed="false">
      <c r="A232" s="20"/>
      <c r="B232" s="20"/>
      <c r="C232" s="15" t="n">
        <f aca="false">MOD(C231+3,24)</f>
        <v>18</v>
      </c>
      <c r="D232" s="17" t="n">
        <v>29</v>
      </c>
      <c r="E232" s="102" t="n">
        <f aca="false">input!$C$2</f>
        <v>10</v>
      </c>
      <c r="F232" s="102" t="n">
        <f aca="false">input!$D$2</f>
        <v>2022</v>
      </c>
      <c r="H232" s="39" t="n">
        <f aca="false">AM232</f>
        <v>57.7197999078389</v>
      </c>
      <c r="I232" s="48" t="n">
        <f aca="false">H232+1.02/(TAN($A$4*(H232+10.3/(H232+5.11)))*60)</f>
        <v>57.7304707139345</v>
      </c>
      <c r="J232" s="39" t="n">
        <f aca="false">100*(1+COS($A$4*AQ232))/2</f>
        <v>22.5802025688478</v>
      </c>
      <c r="K232" s="48" t="n">
        <f aca="false">IF(AI232&gt;180,AT232-180,AT232+180)</f>
        <v>254.633110473057</v>
      </c>
      <c r="L232" s="10" t="n">
        <f aca="false">L231+1/8</f>
        <v>2459882.25</v>
      </c>
      <c r="M232" s="49" t="n">
        <f aca="false">(L232-2451545)/36525</f>
        <v>0.228261464750171</v>
      </c>
      <c r="N232" s="15" t="n">
        <f aca="false">MOD(280.46061837+360.98564736629*(L232-2451545)+0.000387933*M232^2-M232^3/38710000+$G$4,360)</f>
        <v>308.049143183511</v>
      </c>
      <c r="O232" s="18" t="n">
        <f aca="false">0.60643382+1336.85522467*M232 - 0.00000313*M232^2 - INT(0.60643382+1336.85522467*M232 - 0.00000313*M232^2)</f>
        <v>0.758965399009981</v>
      </c>
      <c r="P232" s="15" t="n">
        <f aca="false">22640*SIN(Q232)-4586*SIN(Q232-2*S232)+2370*SIN(2*S232)+769*SIN(2*Q232)-668*SIN(R232)-412*SIN(2*T232)-212*SIN(2*Q232-2*S232)-206*SIN(Q232+R232-2*S232)+192*SIN(Q232+2*S232)-165*SIN(R232-2*S232)-125*SIN(S232)-110*SIN(Q232+R232)+148*SIN(Q232-R232)-55*SIN(2*T232-2*S232)</f>
        <v>-1452.88203139908</v>
      </c>
      <c r="Q232" s="18" t="n">
        <f aca="false">2*PI()*(0.374897+1325.55241*M232 - INT(0.374897+1325.55241*M232))</f>
        <v>5.95288899806468</v>
      </c>
      <c r="R232" s="26" t="n">
        <f aca="false">2*PI()*(0.99312619+99.99735956*M232 - 0.00000044*M232^2 - INT(0.99312619+99.99735956*M232- 0.00000044*M232^2))</f>
        <v>5.14385488433735</v>
      </c>
      <c r="S232" s="26" t="n">
        <f aca="false">2*PI()*(0.827361+1236.853086*M232 - INT(0.827361+1236.853086*M232))</f>
        <v>0.96294898639047</v>
      </c>
      <c r="T232" s="26" t="n">
        <f aca="false">2*PI()*(0.259086+1342.227825*M232 - INT(0.259086+1342.227825*M232))</f>
        <v>4.00851742674421</v>
      </c>
      <c r="U232" s="26" t="n">
        <f aca="false">T232+(P232+412*SIN(2*T232)+541*SIN(R232))/206264.8062</f>
        <v>4.00106212660673</v>
      </c>
      <c r="V232" s="26" t="n">
        <f aca="false">T232-2*S232</f>
        <v>2.08261945396327</v>
      </c>
      <c r="W232" s="25" t="n">
        <f aca="false">-526*SIN(V232)+44*SIN(Q232+V232)-31*SIN(-Q232+V232)-23*SIN(R232+V232)+11*SIN(-R232+V232)-25*SIN(-2*Q232+T232)+21*SIN(-Q232+T232)</f>
        <v>-450.036374001982</v>
      </c>
      <c r="X232" s="26" t="n">
        <f aca="false">2*PI()*(O232+P232/1296000-INT(O232+P232/1296000))</f>
        <v>4.7616764728586</v>
      </c>
      <c r="Y232" s="26" t="n">
        <f aca="false">(18520*SIN(U232)+W232)/206264.8062</f>
        <v>-0.0701955340703566</v>
      </c>
      <c r="Z232" s="26" t="n">
        <f aca="false">Y232*180/PI()</f>
        <v>-4.02190784289821</v>
      </c>
      <c r="AA232" s="26" t="n">
        <f aca="false">COS(Y232)*COS(X232)</f>
        <v>0.0491462086426372</v>
      </c>
      <c r="AB232" s="26" t="n">
        <f aca="false">COS(Y232)*SIN(X232)</f>
        <v>-0.996325913037685</v>
      </c>
      <c r="AC232" s="26" t="n">
        <f aca="false">SIN(Y232)</f>
        <v>-0.0701379012066752</v>
      </c>
      <c r="AD232" s="26" t="n">
        <f aca="false">COS($A$4*(23.4393-46.815*M232/3600))*AB232-SIN($A$4*(23.4393-46.815*M232/3600))*AC232</f>
        <v>-0.88623569161532</v>
      </c>
      <c r="AE232" s="26" t="n">
        <f aca="false">SIN($A$4*(23.4393-46.815*M232/3600))*AB232+COS($A$4*(23.4393-46.815*M232/3600))*AC232</f>
        <v>-0.46062017876247</v>
      </c>
      <c r="AF232" s="26" t="n">
        <f aca="false">SQRT(1-AE232*AE232)</f>
        <v>0.88759734729033</v>
      </c>
      <c r="AG232" s="10" t="n">
        <f aca="false">ATAN(AE232/AF232)/$A$4</f>
        <v>-27.427133747345</v>
      </c>
      <c r="AH232" s="26" t="n">
        <f aca="false">IF(24*ATAN(AD232/(AA232+AF232))/PI()&gt;0,24*ATAN(AD232/(AA232+AF232))/PI(),24*ATAN(AD232/(AA232+AF232))/PI()+24)</f>
        <v>18.2116057963637</v>
      </c>
      <c r="AI232" s="10" t="n">
        <f aca="false">IF(N232-15*AH232&gt;0,N232-15*AH232,360+N232-15*AH232)</f>
        <v>34.8750562380553</v>
      </c>
      <c r="AJ232" s="18" t="n">
        <f aca="false">0.950724+0.051818*COS(Q232)+0.009531*COS(2*S232-Q232)+0.007843*COS(2*S232)+0.002824*COS(2*Q232)+0.000857*COS(2*S232+Q232)+0.000533*COS(2*S232-R232)+0.000401*COS(2*S232-R232-Q232)+0.00032*COS(Q232-R232)-0.000271*COS(S232)</f>
        <v>0.992336365428348</v>
      </c>
      <c r="AK232" s="50" t="n">
        <f aca="false">ASIN(COS($A$4*$G$2)*COS($A$4*AG232)*COS($A$4*AI232)+SIN($A$4*$G$2)*SIN($A$4*AG232))/$A$4</f>
        <v>58.2418172269359</v>
      </c>
      <c r="AL232" s="18" t="n">
        <f aca="false">ASIN((0.9983271+0.0016764*COS($A$4*2*$G$2))*COS($A$4*AK232)*SIN($A$4*AJ232))/$A$4</f>
        <v>0.522017319096978</v>
      </c>
      <c r="AM232" s="18" t="n">
        <f aca="false">AK232-AL232</f>
        <v>57.7197999078389</v>
      </c>
      <c r="AN232" s="10" t="n">
        <f aca="false"> IF(280.4664567 + 360007.6982779*M232/10 + 0.03032028*M232^2/100 + M232^3/49931000&lt;0,MOD(280.4664567 + 360007.6982779*M232/10 + 0.03032028*M232^2/100 + M232^3/49931000+360,360),MOD(280.4664567 + 360007.6982779*M232/10 + 0.03032028*M232^2/100 + M232^3/49931000,360))</f>
        <v>218.054925523213</v>
      </c>
      <c r="AO232" s="27" t="n">
        <f aca="false"> AN232 + (1.9146 - 0.004817*M232 - 0.000014*M232^2)*SIN(R232)+ (0.019993 - 0.000101*M232)*SIN(2*R232)+ 0.00029*SIN(3*R232)</f>
        <v>216.30169792612</v>
      </c>
      <c r="AP232" s="18" t="n">
        <f aca="false">ACOS(COS(X232-$A$4*AO232)*COS(Y232))/$A$4</f>
        <v>56.6155317732308</v>
      </c>
      <c r="AQ232" s="25" t="n">
        <f aca="false">180 - AP232 -0.1468*(1-0.0549*SIN(R232))*SIN($A$4*AP232)/(1-0.0167*SIN($A$4*AO232))</f>
        <v>123.257037792088</v>
      </c>
      <c r="AR232" s="25" t="n">
        <f aca="false">SIN($A$4*AI232)</f>
        <v>0.571788765483538</v>
      </c>
      <c r="AS232" s="25" t="n">
        <f aca="false">COS($A$4*AI232)*SIN($A$4*$G$2) - TAN($A$4*AG232)*COS($A$4*$G$2)</f>
        <v>0.157141423457589</v>
      </c>
      <c r="AT232" s="25" t="n">
        <f aca="false">IF(OR(AND(AR232*AS232&gt;0), AND(AR232&lt;0,AS232&gt;0)), MOD(ATAN2(AS232,AR232)/$A$4+360,360),  ATAN2(AS232,AR232)/$A$4)</f>
        <v>74.6331104730567</v>
      </c>
      <c r="AU232" s="29" t="n">
        <f aca="false">(1+SIN($A$4*H232)*SIN($A$4*AJ232))*120*ASIN(0.272481*SIN($A$4*AJ232))/$A$4</f>
        <v>32.9207041651635</v>
      </c>
      <c r="AV232" s="10" t="n">
        <f aca="false">COS(X232)</f>
        <v>0.0492675395672844</v>
      </c>
      <c r="AW232" s="10" t="n">
        <f aca="false">SIN(X232)</f>
        <v>-0.998785617409956</v>
      </c>
      <c r="AX232" s="30" t="n">
        <f aca="false"> 385000.56 + (-20905355*COS(Q232) - 3699111*COS(2*S232-Q232) - 2955968*COS(2*S232) - 569925*COS(2*Q232) + (1-0.002516*M232)*48888*COS(R232) - 3149*COS(2*T232)  +246158*COS(2*S232-2*Q232) -(1-0.002516*M232)*152138*COS(2*S232-R232-Q232) -170733*COS(2*S232+Q232) -(1-0.002516*M232)*204586*COS(2*S232-R232) -(1-0.002516*M232)*129620*COS(R232-Q232)  + 108743*COS(S232) +(1-0.002516*M232)*104755*COS(R232+Q232) +10321*COS(2*S232-2*T232) +79661*COS(Q232-2*T232) -34782*COS(4*S232-Q232) -23210*COS(3*Q232)  -21636*COS(4*S232-2*Q232) +(1-0.002516*M232)*24208*COS(2*S232+R232-Q232) +(1-0.002516*M232)*30824*COS(2*S232+R232) -8379*COS(S232-Q232) -(1-0.002516*M232)*16675*COS(S232+R232)  -(1-0.002516*M232)*12831*COS(2*S232-R232+Q232) -10445*COS(2*S232+2*Q232) -11650*COS(4*S232) +14403*COS(2*S232-3*Q232) -(1-0.002516*M232)*7003*COS(R232-2*Q232)  + (1-0.002516*M232)*10056*COS(2*S232-R232-2*Q232) +6322*COS(S232+Q232) -(1-0.002516*M232)*(1-0.002516*M232)*9884*COS(2*S232-2*R232) +(1-0.002516*M232)*5751*COS(R232+2*Q232) -(1-0.002516*M232)*(1-0.002516*M232)*4950*COS(2*S232-2*R232-Q232)  +4130*COS(2*S232+Q232-2*T232) -(1-0.002516*M232)*3958*COS(4*S232-R232-Q232) +3258*COS(3*S232-Q232) +(1-0.002516*M232)*2616*COS(2*S232+R232+Q232) -(1-0.002516*M232)*1897*COS(4*S232-R232-2*Q232)  -(1-0.002516*M232)*(1-0.002516*M232)*2117*COS(2*R232-Q232) +(1-0.002516*M232)*(1-0.002516*M232)*2354*COS(2*S232+2*R232-Q232) -1423*COS(4*S232+Q232) -1117*COS(4*Q232) -(1-0.002516*M232)*1571*COS(4*S232-R232)  -1739*COS(S232-2*Q232) -4421*COS(2*Q232-2*T232) +(1-0.002516*M232)*(1-0.002516*M232)*1165*COS(2*R232+Q232) +8752*COS(2*S232-Q232-2*T232))/1000</f>
        <v>368301.299397058</v>
      </c>
      <c r="AY232" s="10" t="n">
        <f aca="false">IF($A$7&gt;28,AY231+1/8,"")</f>
        <v>29.75</v>
      </c>
      <c r="AZ232" s="17" t="n">
        <f aca="false">AZ231+1</f>
        <v>231</v>
      </c>
      <c r="BA232" s="32" t="n">
        <f aca="false">ATAN(0.99664719*TAN($A$4*input!$E$2))</f>
        <v>-0.400219206115995</v>
      </c>
      <c r="BB232" s="32" t="n">
        <f aca="false">COS(BA232)</f>
        <v>0.920975608992155</v>
      </c>
      <c r="BC232" s="32" t="n">
        <f aca="false">0.99664719*SIN(BA232)</f>
        <v>-0.388313912533463</v>
      </c>
      <c r="BD232" s="32" t="n">
        <f aca="false">6378.14/AX232</f>
        <v>0.0173177233163217</v>
      </c>
      <c r="BE232" s="33" t="n">
        <f aca="false">MOD(N232-15*AH232,360)</f>
        <v>34.8750562380553</v>
      </c>
      <c r="BF232" s="27" t="n">
        <f aca="false">COS($A$4*AG232)*SIN($A$4*BE232)</f>
        <v>0.5075181914536</v>
      </c>
      <c r="BG232" s="27" t="n">
        <f aca="false">COS($A$4*AG232)*COS($A$4*BE232)-BB232*BD232</f>
        <v>0.712236446060133</v>
      </c>
      <c r="BH232" s="27" t="n">
        <f aca="false">SIN($A$4*AG232)-BC232*BD232</f>
        <v>-0.453895465865337</v>
      </c>
      <c r="BI232" s="46" t="n">
        <f aca="false">SQRT(BF232^2+BG232^2+BH232^2)</f>
        <v>0.985330687477972</v>
      </c>
      <c r="BJ232" s="35" t="n">
        <f aca="false">AX232*BI232</f>
        <v>362898.572533934</v>
      </c>
    </row>
    <row r="233" customFormat="false" ht="15" hidden="false" customHeight="false" outlineLevel="0" collapsed="false">
      <c r="A233" s="20"/>
      <c r="B233" s="20"/>
      <c r="C233" s="15" t="n">
        <f aca="false">MOD(C232+3,24)</f>
        <v>21</v>
      </c>
      <c r="D233" s="17" t="n">
        <v>29</v>
      </c>
      <c r="E233" s="102" t="n">
        <f aca="false">input!$C$2</f>
        <v>10</v>
      </c>
      <c r="F233" s="102" t="n">
        <f aca="false">input!$D$2</f>
        <v>2022</v>
      </c>
      <c r="H233" s="39" t="n">
        <f aca="false">AM233</f>
        <v>19.5793784535512</v>
      </c>
      <c r="I233" s="48" t="n">
        <f aca="false">H233+1.02/(TAN($A$4*(H233+10.3/(H233+5.11)))*60)</f>
        <v>19.62609429162</v>
      </c>
      <c r="J233" s="39" t="n">
        <f aca="false">100*(1+COS($A$4*AQ233))/2</f>
        <v>23.8087146450463</v>
      </c>
      <c r="K233" s="48" t="n">
        <f aca="false">IF(AI233&gt;180,AT233-180,AT233+180)</f>
        <v>247.886486787417</v>
      </c>
      <c r="L233" s="10" t="n">
        <f aca="false">L232+1/8</f>
        <v>2459882.375</v>
      </c>
      <c r="M233" s="49" t="n">
        <f aca="false">(L233-2451545)/36525</f>
        <v>0.228264887063655</v>
      </c>
      <c r="N233" s="15" t="n">
        <f aca="false">MOD(280.46061837+360.98564736629*(L233-2451545)+0.000387933*M233^2-M233^3/38710000+$G$4,360)</f>
        <v>353.172349105123</v>
      </c>
      <c r="O233" s="18" t="n">
        <f aca="false">0.60643382+1336.85522467*M233 - 0.00000313*M233^2 - INT(0.60643382+1336.85522467*M233 - 0.00000313*M233^2)</f>
        <v>0.76354053666654</v>
      </c>
      <c r="P233" s="15" t="n">
        <f aca="false">22640*SIN(Q233)-4586*SIN(Q233-2*S233)+2370*SIN(2*S233)+769*SIN(2*Q233)-668*SIN(R233)-412*SIN(2*T233)-212*SIN(2*Q233-2*S233)-206*SIN(Q233+R233-2*S233)+192*SIN(Q233+2*S233)-165*SIN(R233-2*S233)-125*SIN(S233)-110*SIN(Q233+R233)+148*SIN(Q233-R233)-55*SIN(2*T233-2*S233)</f>
        <v>-933.02324069761</v>
      </c>
      <c r="Q233" s="18" t="n">
        <f aca="false">2*PI()*(0.374897+1325.55241*M233 - INT(0.374897+1325.55241*M233))</f>
        <v>5.98139239103648</v>
      </c>
      <c r="R233" s="26" t="n">
        <f aca="false">2*PI()*(0.99312619+99.99735956*M233 - 0.00000044*M233^2 - INT(0.99312619+99.99735956*M233- 0.00000044*M233^2))</f>
        <v>5.14600513053545</v>
      </c>
      <c r="S233" s="26" t="n">
        <f aca="false">2*PI()*(0.827361+1236.853086*M233 - INT(0.827361+1236.853086*M233))</f>
        <v>0.989545075155392</v>
      </c>
      <c r="T233" s="26" t="n">
        <f aca="false">2*PI()*(0.259086+1342.227825*M233 - INT(0.259086+1342.227825*M233))</f>
        <v>4.03737939166197</v>
      </c>
      <c r="U233" s="26" t="n">
        <f aca="false">T233+(P233+412*SIN(2*T233)+541*SIN(R233))/206264.8062</f>
        <v>4.03242481301588</v>
      </c>
      <c r="V233" s="26" t="n">
        <f aca="false">T233-2*S233</f>
        <v>2.05828924135118</v>
      </c>
      <c r="W233" s="25" t="n">
        <f aca="false">-526*SIN(V233)+44*SIN(Q233+V233)-31*SIN(-Q233+V233)-23*SIN(R233+V233)+11*SIN(-R233+V233)-25*SIN(-2*Q233+T233)+21*SIN(-Q233+T233)</f>
        <v>-456.842381414769</v>
      </c>
      <c r="X233" s="26" t="n">
        <f aca="false">2*PI()*(O233+P233/1296000-INT(O233+P233/1296000))</f>
        <v>4.79294325710038</v>
      </c>
      <c r="Y233" s="26" t="n">
        <f aca="false">(18520*SIN(U233)+W233)/206264.8062</f>
        <v>-0.0720331629859534</v>
      </c>
      <c r="Z233" s="26" t="n">
        <f aca="false">Y233*180/PI()</f>
        <v>-4.12719622407311</v>
      </c>
      <c r="AA233" s="26" t="n">
        <f aca="false">COS(Y233)*COS(X233)</f>
        <v>0.0802585127704584</v>
      </c>
      <c r="AB233" s="26" t="n">
        <f aca="false">COS(Y233)*SIN(X233)</f>
        <v>-0.994172400954169</v>
      </c>
      <c r="AC233" s="26" t="n">
        <f aca="false">SIN(Y233)</f>
        <v>-0.0719708851473809</v>
      </c>
      <c r="AD233" s="26" t="n">
        <f aca="false">COS($A$4*(23.4393-46.815*M233/3600))*AB233-SIN($A$4*(23.4393-46.815*M233/3600))*AC233</f>
        <v>-0.883530806750443</v>
      </c>
      <c r="AE233" s="26" t="n">
        <f aca="false">SIN($A$4*(23.4393-46.815*M233/3600))*AB233+COS($A$4*(23.4393-46.815*M233/3600))*AC233</f>
        <v>-0.461445429764761</v>
      </c>
      <c r="AF233" s="26" t="n">
        <f aca="false">SQRT(1-AE233*AE233)</f>
        <v>0.887168594658994</v>
      </c>
      <c r="AG233" s="10" t="n">
        <f aca="false">ATAN(AE233/AF233)/$A$4</f>
        <v>-27.4804178395679</v>
      </c>
      <c r="AH233" s="26" t="n">
        <f aca="false">IF(24*ATAN(AD233/(AA233+AF233))/PI()&gt;0,24*ATAN(AD233/(AA233+AF233))/PI(),24*ATAN(AD233/(AA233+AF233))/PI()+24)</f>
        <v>18.346027400965</v>
      </c>
      <c r="AI233" s="10" t="n">
        <f aca="false">IF(N233-15*AH233&gt;0,N233-15*AH233,360+N233-15*AH233)</f>
        <v>77.981938090648</v>
      </c>
      <c r="AJ233" s="18" t="n">
        <f aca="false">0.950724+0.051818*COS(Q233)+0.009531*COS(2*S233-Q233)+0.007843*COS(2*S233)+0.002824*COS(2*Q233)+0.000857*COS(2*S233+Q233)+0.000533*COS(2*S233-R233)+0.000401*COS(2*S233-R233-Q233)+0.00032*COS(Q233-R233)-0.000271*COS(S233)</f>
        <v>0.992254022791455</v>
      </c>
      <c r="AK233" s="50" t="n">
        <f aca="false">ASIN(COS($A$4*$G$2)*COS($A$4*AG233)*COS($A$4*AI233)+SIN($A$4*$G$2)*SIN($A$4*AG233))/$A$4</f>
        <v>20.5082668463774</v>
      </c>
      <c r="AL233" s="18" t="n">
        <f aca="false">ASIN((0.9983271+0.0016764*COS($A$4*2*$G$2))*COS($A$4*AK233)*SIN($A$4*AJ233))/$A$4</f>
        <v>0.928888392826168</v>
      </c>
      <c r="AM233" s="18" t="n">
        <f aca="false">AK233-AL233</f>
        <v>19.5793784535512</v>
      </c>
      <c r="AN233" s="10" t="n">
        <f aca="false"> IF(280.4664567 + 360007.6982779*M233/10 + 0.03032028*M233^2/100 + M233^3/49931000&lt;0,MOD(280.4664567 + 360007.6982779*M233/10 + 0.03032028*M233^2/100 + M233^3/49931000+360,360),MOD(280.4664567 + 360007.6982779*M233/10 + 0.03032028*M233^2/100 + M233^3/49931000,360))</f>
        <v>218.178131443701</v>
      </c>
      <c r="AO233" s="27" t="n">
        <f aca="false"> AN233 + (1.9146 - 0.004817*M233 - 0.000014*M233^2)*SIN(R233)+ (0.019993 - 0.000101*M233)*SIN(2*R233)+ 0.00029*SIN(3*R233)</f>
        <v>216.426571070763</v>
      </c>
      <c r="AP233" s="18" t="n">
        <f aca="false">ACOS(COS(X233-$A$4*AO233)*COS(Y233))/$A$4</f>
        <v>58.2809686589542</v>
      </c>
      <c r="AQ233" s="25" t="n">
        <f aca="false">180 - AP233 -0.1468*(1-0.0549*SIN(R233))*SIN($A$4*AP233)/(1-0.0167*SIN($A$4*AO233))</f>
        <v>121.589224024866</v>
      </c>
      <c r="AR233" s="25" t="n">
        <f aca="false">SIN($A$4*AI233)</f>
        <v>0.978082010095424</v>
      </c>
      <c r="AS233" s="25" t="n">
        <f aca="false">COS($A$4*AI233)*SIN($A$4*$G$2) - TAN($A$4*AG233)*COS($A$4*$G$2)</f>
        <v>0.397426661417739</v>
      </c>
      <c r="AT233" s="25" t="n">
        <f aca="false">IF(OR(AND(AR233*AS233&gt;0), AND(AR233&lt;0,AS233&gt;0)), MOD(ATAN2(AS233,AR233)/$A$4+360,360),  ATAN2(AS233,AR233)/$A$4)</f>
        <v>67.8864867874174</v>
      </c>
      <c r="AU233" s="29" t="n">
        <f aca="false">(1+SIN($A$4*H233)*SIN($A$4*AJ233))*120*ASIN(0.272481*SIN($A$4*AJ233))/$A$4</f>
        <v>32.6312164325631</v>
      </c>
      <c r="AV233" s="10" t="n">
        <f aca="false">COS(X233)</f>
        <v>0.0804671856410471</v>
      </c>
      <c r="AW233" s="10" t="n">
        <f aca="false">SIN(X233)</f>
        <v>-0.996757258330738</v>
      </c>
      <c r="AX233" s="30" t="n">
        <f aca="false"> 385000.56 + (-20905355*COS(Q233) - 3699111*COS(2*S233-Q233) - 2955968*COS(2*S233) - 569925*COS(2*Q233) + (1-0.002516*M233)*48888*COS(R233) - 3149*COS(2*T233)  +246158*COS(2*S233-2*Q233) -(1-0.002516*M233)*152138*COS(2*S233-R233-Q233) -170733*COS(2*S233+Q233) -(1-0.002516*M233)*204586*COS(2*S233-R233) -(1-0.002516*M233)*129620*COS(R233-Q233)  + 108743*COS(S233) +(1-0.002516*M233)*104755*COS(R233+Q233) +10321*COS(2*S233-2*T233) +79661*COS(Q233-2*T233) -34782*COS(4*S233-Q233) -23210*COS(3*Q233)  -21636*COS(4*S233-2*Q233) +(1-0.002516*M233)*24208*COS(2*S233+R233-Q233) +(1-0.002516*M233)*30824*COS(2*S233+R233) -8379*COS(S233-Q233) -(1-0.002516*M233)*16675*COS(S233+R233)  -(1-0.002516*M233)*12831*COS(2*S233-R233+Q233) -10445*COS(2*S233+2*Q233) -11650*COS(4*S233) +14403*COS(2*S233-3*Q233) -(1-0.002516*M233)*7003*COS(R233-2*Q233)  + (1-0.002516*M233)*10056*COS(2*S233-R233-2*Q233) +6322*COS(S233+Q233) -(1-0.002516*M233)*(1-0.002516*M233)*9884*COS(2*S233-2*R233) +(1-0.002516*M233)*5751*COS(R233+2*Q233) -(1-0.002516*M233)*(1-0.002516*M233)*4950*COS(2*S233-2*R233-Q233)  +4130*COS(2*S233+Q233-2*T233) -(1-0.002516*M233)*3958*COS(4*S233-R233-Q233) +3258*COS(3*S233-Q233) +(1-0.002516*M233)*2616*COS(2*S233+R233+Q233) -(1-0.002516*M233)*1897*COS(4*S233-R233-2*Q233)  -(1-0.002516*M233)*(1-0.002516*M233)*2117*COS(2*R233-Q233) +(1-0.002516*M233)*(1-0.002516*M233)*2354*COS(2*S233+2*R233-Q233) -1423*COS(4*S233+Q233) -1117*COS(4*Q233) -(1-0.002516*M233)*1571*COS(4*S233-R233)  -1739*COS(S233-2*Q233) -4421*COS(2*Q233-2*T233) +(1-0.002516*M233)*(1-0.002516*M233)*1165*COS(2*R233+Q233) +8752*COS(2*S233-Q233-2*T233))/1000</f>
        <v>368321.319528906</v>
      </c>
      <c r="AY233" s="10" t="n">
        <f aca="false">IF($A$7&gt;28,AY232+1/8,"")</f>
        <v>29.875</v>
      </c>
      <c r="AZ233" s="17" t="n">
        <f aca="false">AZ232+1</f>
        <v>232</v>
      </c>
      <c r="BA233" s="32" t="n">
        <f aca="false">ATAN(0.99664719*TAN($A$4*input!$E$2))</f>
        <v>-0.400219206115995</v>
      </c>
      <c r="BB233" s="32" t="n">
        <f aca="false">COS(BA233)</f>
        <v>0.920975608992155</v>
      </c>
      <c r="BC233" s="32" t="n">
        <f aca="false">0.99664719*SIN(BA233)</f>
        <v>-0.388313912533463</v>
      </c>
      <c r="BD233" s="32" t="n">
        <f aca="false">6378.14/AX233</f>
        <v>0.0173167820102237</v>
      </c>
      <c r="BE233" s="33" t="n">
        <f aca="false">MOD(N233-15*AH233,360)</f>
        <v>77.981938090648</v>
      </c>
      <c r="BF233" s="27" t="n">
        <f aca="false">COS($A$4*AG233)*SIN($A$4*BE233)</f>
        <v>0.867723642357602</v>
      </c>
      <c r="BG233" s="27" t="n">
        <f aca="false">COS($A$4*AG233)*COS($A$4*BE233)-BB233*BD233</f>
        <v>0.168777938889006</v>
      </c>
      <c r="BH233" s="27" t="n">
        <f aca="false">SIN($A$4*AG233)-BC233*BD233</f>
        <v>-0.454721082389882</v>
      </c>
      <c r="BI233" s="46" t="n">
        <f aca="false">SQRT(BF233^2+BG233^2+BH233^2)</f>
        <v>0.994083283700008</v>
      </c>
      <c r="BJ233" s="35" t="n">
        <f aca="false">AX233*BI233</f>
        <v>366142.066774015</v>
      </c>
    </row>
    <row r="234" customFormat="false" ht="15" hidden="false" customHeight="false" outlineLevel="0" collapsed="false">
      <c r="A234" s="20"/>
      <c r="B234" s="20"/>
      <c r="C234" s="15" t="n">
        <f aca="false">MOD(C233+3,24)</f>
        <v>0</v>
      </c>
      <c r="D234" s="36" t="n">
        <v>30</v>
      </c>
      <c r="E234" s="102" t="n">
        <f aca="false">input!$C$2</f>
        <v>10</v>
      </c>
      <c r="F234" s="102" t="n">
        <f aca="false">input!$D$2</f>
        <v>2022</v>
      </c>
      <c r="H234" s="39" t="n">
        <f aca="false">AM234</f>
        <v>-14.9162651117695</v>
      </c>
      <c r="I234" s="48" t="n">
        <f aca="false">H234+1.02/(TAN($A$4*(H234+10.3/(H234+5.11)))*60)</f>
        <v>-14.9756818037459</v>
      </c>
      <c r="J234" s="39" t="n">
        <f aca="false">100*(1+COS($A$4*AQ234))/2</f>
        <v>25.0586918768454</v>
      </c>
      <c r="K234" s="48" t="n">
        <f aca="false">IF(AI234&gt;180,AT234-180,AT234+180)</f>
        <v>231.506238074986</v>
      </c>
      <c r="L234" s="10" t="n">
        <f aca="false">L233+1/8</f>
        <v>2459882.5</v>
      </c>
      <c r="M234" s="49" t="n">
        <f aca="false">(L234-2451545)/36525</f>
        <v>0.228268309377139</v>
      </c>
      <c r="N234" s="15" t="n">
        <f aca="false">MOD(280.46061837+360.98564736629*(L234-2451545)+0.000387933*M234^2-M234^3/38710000+$G$4,360)</f>
        <v>38.2955550262705</v>
      </c>
      <c r="O234" s="18" t="n">
        <f aca="false">0.60643382+1336.85522467*M234 - 0.00000313*M234^2 - INT(0.60643382+1336.85522467*M234 - 0.00000313*M234^2)</f>
        <v>0.768115674323099</v>
      </c>
      <c r="P234" s="15" t="n">
        <f aca="false">22640*SIN(Q234)-4586*SIN(Q234-2*S234)+2370*SIN(2*S234)+769*SIN(2*Q234)-668*SIN(R234)-412*SIN(2*T234)-212*SIN(2*Q234-2*S234)-206*SIN(Q234+R234-2*S234)+192*SIN(Q234+2*S234)-165*SIN(R234-2*S234)-125*SIN(S234)-110*SIN(Q234+R234)+148*SIN(Q234-R234)-55*SIN(2*T234-2*S234)</f>
        <v>-414.578267441986</v>
      </c>
      <c r="Q234" s="18" t="n">
        <f aca="false">2*PI()*(0.374897+1325.55241*M234 - INT(0.374897+1325.55241*M234))</f>
        <v>6.00989578400863</v>
      </c>
      <c r="R234" s="26" t="n">
        <f aca="false">2*PI()*(0.99312619+99.99735956*M234 - 0.00000044*M234^2 - INT(0.99312619+99.99735956*M234- 0.00000044*M234^2))</f>
        <v>5.14815537673351</v>
      </c>
      <c r="S234" s="26" t="n">
        <f aca="false">2*PI()*(0.827361+1236.853086*M234 - INT(0.827361+1236.853086*M234))</f>
        <v>1.01614116391996</v>
      </c>
      <c r="T234" s="26" t="n">
        <f aca="false">2*PI()*(0.259086+1342.227825*M234 - INT(0.259086+1342.227825*M234))</f>
        <v>4.06624135657937</v>
      </c>
      <c r="U234" s="26" t="n">
        <f aca="false">T234+(P234+412*SIN(2*T234)+541*SIN(R234))/206264.8062</f>
        <v>4.06377416384957</v>
      </c>
      <c r="V234" s="26" t="n">
        <f aca="false">T234-2*S234</f>
        <v>2.03395902873945</v>
      </c>
      <c r="W234" s="25" t="n">
        <f aca="false">-526*SIN(V234)+44*SIN(Q234+V234)-31*SIN(-Q234+V234)-23*SIN(R234+V234)+11*SIN(-R234+V234)-25*SIN(-2*Q234+T234)+21*SIN(-Q234+T234)</f>
        <v>-463.323445148117</v>
      </c>
      <c r="X234" s="26" t="n">
        <f aca="false">2*PI()*(O234+P234/1296000-INT(O234+P234/1296000))</f>
        <v>4.82420318696177</v>
      </c>
      <c r="Y234" s="26" t="n">
        <f aca="false">(18520*SIN(U234)+W234)/206264.8062</f>
        <v>-0.0737998242840696</v>
      </c>
      <c r="Z234" s="26" t="n">
        <f aca="false">Y234*180/PI()</f>
        <v>-4.22841846028427</v>
      </c>
      <c r="AA234" s="26" t="n">
        <f aca="false">COS(Y234)*COS(X234)</f>
        <v>0.111277639619377</v>
      </c>
      <c r="AB234" s="26" t="n">
        <f aca="false">COS(Y234)*SIN(X234)</f>
        <v>-0.991050328433163</v>
      </c>
      <c r="AC234" s="26" t="n">
        <f aca="false">SIN(Y234)</f>
        <v>-0.0737328517911798</v>
      </c>
      <c r="AD234" s="26" t="n">
        <f aca="false">COS($A$4*(23.4393-46.815*M234/3600))*AB234-SIN($A$4*(23.4393-46.815*M234/3600))*AC234</f>
        <v>-0.879965510852578</v>
      </c>
      <c r="AE234" s="26" t="n">
        <f aca="false">SIN($A$4*(23.4393-46.815*M234/3600))*AB234+COS($A$4*(23.4393-46.815*M234/3600))*AC234</f>
        <v>-0.461820296902055</v>
      </c>
      <c r="AF234" s="26" t="n">
        <f aca="false">SQRT(1-AE234*AE234)</f>
        <v>0.886973513341463</v>
      </c>
      <c r="AG234" s="10" t="n">
        <f aca="false">ATAN(AE234/AF234)/$A$4</f>
        <v>-27.5046304484999</v>
      </c>
      <c r="AH234" s="26" t="n">
        <f aca="false">IF(24*ATAN(AD234/(AA234+AF234))/PI()&gt;0,24*ATAN(AD234/(AA234+AF234))/PI(),24*ATAN(AD234/(AA234+AF234))/PI()+24)</f>
        <v>18.4804791340353</v>
      </c>
      <c r="AI234" s="10" t="n">
        <f aca="false">IF(N234-15*AH234&gt;0,N234-15*AH234,360+N234-15*AH234)</f>
        <v>121.088368015741</v>
      </c>
      <c r="AJ234" s="18" t="n">
        <f aca="false">0.950724+0.051818*COS(Q234)+0.009531*COS(2*S234-Q234)+0.007843*COS(2*S234)+0.002824*COS(2*Q234)+0.000857*COS(2*S234+Q234)+0.000533*COS(2*S234-R234)+0.000401*COS(2*S234-R234-Q234)+0.00032*COS(Q234-R234)-0.000271*COS(S234)</f>
        <v>0.992138676033989</v>
      </c>
      <c r="AK234" s="50" t="n">
        <f aca="false">ASIN(COS($A$4*$G$2)*COS($A$4*AG234)*COS($A$4*AI234)+SIN($A$4*$G$2)*SIN($A$4*AG234))/$A$4</f>
        <v>-13.9538967100798</v>
      </c>
      <c r="AL234" s="18" t="n">
        <f aca="false">ASIN((0.9983271+0.0016764*COS($A$4*2*$G$2))*COS($A$4*AK234)*SIN($A$4*AJ234))/$A$4</f>
        <v>0.962368401689673</v>
      </c>
      <c r="AM234" s="18" t="n">
        <f aca="false">AK234-AL234</f>
        <v>-14.9162651117695</v>
      </c>
      <c r="AN234" s="10" t="n">
        <f aca="false"> IF(280.4664567 + 360007.6982779*M234/10 + 0.03032028*M234^2/100 + M234^3/49931000&lt;0,MOD(280.4664567 + 360007.6982779*M234/10 + 0.03032028*M234^2/100 + M234^3/49931000+360,360),MOD(280.4664567 + 360007.6982779*M234/10 + 0.03032028*M234^2/100 + M234^3/49931000,360))</f>
        <v>218.301337364186</v>
      </c>
      <c r="AO234" s="27" t="n">
        <f aca="false"> AN234 + (1.9146 - 0.004817*M234 - 0.000014*M234^2)*SIN(R234)+ (0.019993 - 0.000101*M234)*SIN(2*R234)+ 0.00029*SIN(3*R234)</f>
        <v>216.551452522173</v>
      </c>
      <c r="AP234" s="18" t="n">
        <f aca="false">ACOS(COS(X234-$A$4*AO234)*COS(Y234))/$A$4</f>
        <v>59.9455571064178</v>
      </c>
      <c r="AQ234" s="25" t="n">
        <f aca="false">180 - AP234 -0.1468*(1-0.0549*SIN(R234))*SIN($A$4*AP234)/(1-0.0167*SIN($A$4*AO234))</f>
        <v>119.922369873114</v>
      </c>
      <c r="AR234" s="25" t="n">
        <f aca="false">SIN($A$4*AI234)</f>
        <v>0.856371931703027</v>
      </c>
      <c r="AS234" s="25" t="n">
        <f aca="false">COS($A$4*AI234)*SIN($A$4*$G$2) - TAN($A$4*AG234)*COS($A$4*$G$2)</f>
        <v>0.681036775195508</v>
      </c>
      <c r="AT234" s="25" t="n">
        <f aca="false">IF(OR(AND(AR234*AS234&gt;0), AND(AR234&lt;0,AS234&gt;0)), MOD(ATAN2(AS234,AR234)/$A$4+360,360),  ATAN2(AS234,AR234)/$A$4)</f>
        <v>51.5062380749865</v>
      </c>
      <c r="AU234" s="29" t="n">
        <f aca="false">(1+SIN($A$4*H234)*SIN($A$4*AJ234))*120*ASIN(0.272481*SIN($A$4*AJ234))/$A$4</f>
        <v>32.2945884267796</v>
      </c>
      <c r="AV234" s="10" t="n">
        <f aca="false">COS(X234)</f>
        <v>0.111581360879124</v>
      </c>
      <c r="AW234" s="10" t="n">
        <f aca="false">SIN(X234)</f>
        <v>-0.99375530182453</v>
      </c>
      <c r="AX234" s="30" t="n">
        <f aca="false"> 385000.56 + (-20905355*COS(Q234) - 3699111*COS(2*S234-Q234) - 2955968*COS(2*S234) - 569925*COS(2*Q234) + (1-0.002516*M234)*48888*COS(R234) - 3149*COS(2*T234)  +246158*COS(2*S234-2*Q234) -(1-0.002516*M234)*152138*COS(2*S234-R234-Q234) -170733*COS(2*S234+Q234) -(1-0.002516*M234)*204586*COS(2*S234-R234) -(1-0.002516*M234)*129620*COS(R234-Q234)  + 108743*COS(S234) +(1-0.002516*M234)*104755*COS(R234+Q234) +10321*COS(2*S234-2*T234) +79661*COS(Q234-2*T234) -34782*COS(4*S234-Q234) -23210*COS(3*Q234)  -21636*COS(4*S234-2*Q234) +(1-0.002516*M234)*24208*COS(2*S234+R234-Q234) +(1-0.002516*M234)*30824*COS(2*S234+R234) -8379*COS(S234-Q234) -(1-0.002516*M234)*16675*COS(S234+R234)  -(1-0.002516*M234)*12831*COS(2*S234-R234+Q234) -10445*COS(2*S234+2*Q234) -11650*COS(4*S234) +14403*COS(2*S234-3*Q234) -(1-0.002516*M234)*7003*COS(R234-2*Q234)  + (1-0.002516*M234)*10056*COS(2*S234-R234-2*Q234) +6322*COS(S234+Q234) -(1-0.002516*M234)*(1-0.002516*M234)*9884*COS(2*S234-2*R234) +(1-0.002516*M234)*5751*COS(R234+2*Q234) -(1-0.002516*M234)*(1-0.002516*M234)*4950*COS(2*S234-2*R234-Q234)  +4130*COS(2*S234+Q234-2*T234) -(1-0.002516*M234)*3958*COS(4*S234-R234-Q234) +3258*COS(3*S234-Q234) +(1-0.002516*M234)*2616*COS(2*S234+R234+Q234) -(1-0.002516*M234)*1897*COS(4*S234-R234-2*Q234)  -(1-0.002516*M234)*(1-0.002516*M234)*2117*COS(2*R234-Q234) +(1-0.002516*M234)*(1-0.002516*M234)*2354*COS(2*S234+2*R234-Q234) -1423*COS(4*S234+Q234) -1117*COS(4*Q234) -(1-0.002516*M234)*1571*COS(4*S234-R234)  -1739*COS(S234-2*Q234) -4421*COS(2*Q234-2*T234) +(1-0.002516*M234)*(1-0.002516*M234)*1165*COS(2*R234+Q234) +8752*COS(2*S234-Q234-2*T234))/1000</f>
        <v>368353.405876389</v>
      </c>
      <c r="AY234" s="10" t="n">
        <f aca="false">IF($A$7&gt;28,AY233+1/8,"")</f>
        <v>30</v>
      </c>
      <c r="AZ234" s="17" t="n">
        <f aca="false">AZ233+1</f>
        <v>233</v>
      </c>
      <c r="BA234" s="32" t="n">
        <f aca="false">ATAN(0.99664719*TAN($A$4*input!$E$2))</f>
        <v>-0.400219206115995</v>
      </c>
      <c r="BB234" s="32" t="n">
        <f aca="false">COS(BA234)</f>
        <v>0.920975608992155</v>
      </c>
      <c r="BC234" s="32" t="n">
        <f aca="false">0.99664719*SIN(BA234)</f>
        <v>-0.388313912533463</v>
      </c>
      <c r="BD234" s="32" t="n">
        <f aca="false">6378.14/AX234</f>
        <v>0.0173152735884852</v>
      </c>
      <c r="BE234" s="33" t="n">
        <f aca="false">MOD(N234-15*AH234,360)</f>
        <v>121.088368015741</v>
      </c>
      <c r="BF234" s="27" t="n">
        <f aca="false">COS($A$4*AG234)*SIN($A$4*BE234)</f>
        <v>0.759579220989649</v>
      </c>
      <c r="BG234" s="27" t="n">
        <f aca="false">COS($A$4*AG234)*COS($A$4*BE234)-BB234*BD234</f>
        <v>-0.473944128483136</v>
      </c>
      <c r="BH234" s="27" t="n">
        <f aca="false">SIN($A$4*AG234)-BC234*BD234</f>
        <v>-0.455096535268323</v>
      </c>
      <c r="BI234" s="46" t="n">
        <f aca="false">SQRT(BF234^2+BG234^2+BH234^2)</f>
        <v>1.00433883042334</v>
      </c>
      <c r="BJ234" s="35" t="n">
        <f aca="false">AX234*BI234</f>
        <v>369951.628840344</v>
      </c>
    </row>
    <row r="235" customFormat="false" ht="15" hidden="false" customHeight="false" outlineLevel="0" collapsed="false">
      <c r="A235" s="20"/>
      <c r="B235" s="20"/>
      <c r="C235" s="15" t="n">
        <f aca="false">MOD(C234+3,24)</f>
        <v>3</v>
      </c>
      <c r="D235" s="17" t="n">
        <v>30</v>
      </c>
      <c r="E235" s="102" t="n">
        <f aca="false">input!$C$2</f>
        <v>10</v>
      </c>
      <c r="F235" s="102" t="n">
        <f aca="false">input!$D$2</f>
        <v>2022</v>
      </c>
      <c r="H235" s="39" t="n">
        <f aca="false">AM235</f>
        <v>-38.0335824019558</v>
      </c>
      <c r="I235" s="48" t="n">
        <f aca="false">H235+1.02/(TAN($A$4*(H235+10.3/(H235+5.11)))*60)</f>
        <v>-38.0550723103716</v>
      </c>
      <c r="J235" s="39" t="n">
        <f aca="false">100*(1+COS($A$4*AQ235))/2</f>
        <v>26.328956013732</v>
      </c>
      <c r="K235" s="48" t="n">
        <f aca="false">IF(AI235&gt;180,AT235-180,AT235+180)</f>
        <v>197.666265689662</v>
      </c>
      <c r="L235" s="10" t="n">
        <f aca="false">L234+1/8</f>
        <v>2459882.625</v>
      </c>
      <c r="M235" s="49" t="n">
        <f aca="false">(L235-2451545)/36525</f>
        <v>0.228271731690623</v>
      </c>
      <c r="N235" s="15" t="n">
        <f aca="false">MOD(280.46061837+360.98564736629*(L235-2451545)+0.000387933*M235^2-M235^3/38710000+$G$4,360)</f>
        <v>83.4187609474175</v>
      </c>
      <c r="O235" s="18" t="n">
        <f aca="false">0.60643382+1336.85522467*M235 - 0.00000313*M235^2 - INT(0.60643382+1336.85522467*M235 - 0.00000313*M235^2)</f>
        <v>0.772690811979658</v>
      </c>
      <c r="P235" s="15" t="n">
        <f aca="false">22640*SIN(Q235)-4586*SIN(Q235-2*S235)+2370*SIN(2*S235)+769*SIN(2*Q235)-668*SIN(R235)-412*SIN(2*T235)-212*SIN(2*Q235-2*S235)-206*SIN(Q235+R235-2*S235)+192*SIN(Q235+2*S235)-165*SIN(R235-2*S235)-125*SIN(S235)-110*SIN(Q235+R235)+148*SIN(Q235-R235)-55*SIN(2*T235-2*S235)</f>
        <v>102.04645439344</v>
      </c>
      <c r="Q235" s="18" t="n">
        <f aca="false">2*PI()*(0.374897+1325.55241*M235 - INT(0.374897+1325.55241*M235))</f>
        <v>6.03839917698079</v>
      </c>
      <c r="R235" s="26" t="n">
        <f aca="false">2*PI()*(0.99312619+99.99735956*M235 - 0.00000044*M235^2 - INT(0.99312619+99.99735956*M235- 0.00000044*M235^2))</f>
        <v>5.15030562293164</v>
      </c>
      <c r="S235" s="26" t="n">
        <f aca="false">2*PI()*(0.827361+1236.853086*M235 - INT(0.827361+1236.853086*M235))</f>
        <v>1.04273725268524</v>
      </c>
      <c r="T235" s="26" t="n">
        <f aca="false">2*PI()*(0.259086+1342.227825*M235 - INT(0.259086+1342.227825*M235))</f>
        <v>4.09510332149713</v>
      </c>
      <c r="U235" s="26" t="n">
        <f aca="false">T235+(P235+412*SIN(2*T235)+541*SIN(R235))/206264.8062</f>
        <v>4.0951083035249</v>
      </c>
      <c r="V235" s="26" t="n">
        <f aca="false">T235-2*S235</f>
        <v>2.00962881612665</v>
      </c>
      <c r="W235" s="25" t="n">
        <f aca="false">-526*SIN(V235)+44*SIN(Q235+V235)-31*SIN(-Q235+V235)-23*SIN(R235+V235)+11*SIN(-R235+V235)-25*SIN(-2*Q235+T235)+21*SIN(-Q235+T235)</f>
        <v>-469.473250439554</v>
      </c>
      <c r="X235" s="26" t="n">
        <f aca="false">2*PI()*(O235+P235/1296000-INT(O235+P235/1296000))</f>
        <v>4.85545429199524</v>
      </c>
      <c r="Y235" s="26" t="n">
        <f aca="false">(18520*SIN(U235)+W235)/206264.8062</f>
        <v>-0.0754937732826644</v>
      </c>
      <c r="Z235" s="26" t="n">
        <f aca="false">Y235*180/PI()</f>
        <v>-4.32547458861417</v>
      </c>
      <c r="AA235" s="26" t="n">
        <f aca="false">COS(Y235)*COS(X235)</f>
        <v>0.142171670374598</v>
      </c>
      <c r="AB235" s="26" t="n">
        <f aca="false">COS(Y235)*SIN(X235)</f>
        <v>-0.986964399302931</v>
      </c>
      <c r="AC235" s="26" t="n">
        <f aca="false">SIN(Y235)</f>
        <v>-0.0754220833145069</v>
      </c>
      <c r="AD235" s="26" t="n">
        <f aca="false">COS($A$4*(23.4393-46.815*M235/3600))*AB235-SIN($A$4*(23.4393-46.815*M235/3600))*AC235</f>
        <v>-0.875544802924933</v>
      </c>
      <c r="AE235" s="26" t="n">
        <f aca="false">SIN($A$4*(23.4393-46.815*M235/3600))*AB235+COS($A$4*(23.4393-46.815*M235/3600))*AC235</f>
        <v>-0.461745074921256</v>
      </c>
      <c r="AF235" s="26" t="n">
        <f aca="false">SQRT(1-AE235*AE235)</f>
        <v>0.887012675098819</v>
      </c>
      <c r="AG235" s="10" t="n">
        <f aca="false">ATAN(AE235/AF235)/$A$4</f>
        <v>-27.4997714455923</v>
      </c>
      <c r="AH235" s="26" t="n">
        <f aca="false">IF(24*ATAN(AD235/(AA235+AF235))/PI()&gt;0,24*ATAN(AD235/(AA235+AF235))/PI(),24*ATAN(AD235/(AA235+AF235))/PI()+24)</f>
        <v>18.6148821650494</v>
      </c>
      <c r="AI235" s="10" t="n">
        <f aca="false">IF(N235-15*AH235&gt;0,N235-15*AH235,360+N235-15*AH235)</f>
        <v>164.195528471676</v>
      </c>
      <c r="AJ235" s="18" t="n">
        <f aca="false">0.950724+0.051818*COS(Q235)+0.009531*COS(2*S235-Q235)+0.007843*COS(2*S235)+0.002824*COS(2*Q235)+0.000857*COS(2*S235+Q235)+0.000533*COS(2*S235-R235)+0.000401*COS(2*S235-R235-Q235)+0.00032*COS(Q235-R235)-0.000271*COS(S235)</f>
        <v>0.99199133878379</v>
      </c>
      <c r="AK235" s="50" t="n">
        <f aca="false">ASIN(COS($A$4*$G$2)*COS($A$4*AG235)*COS($A$4*AI235)+SIN($A$4*$G$2)*SIN($A$4*AG235))/$A$4</f>
        <v>-37.2443116275317</v>
      </c>
      <c r="AL235" s="18" t="n">
        <f aca="false">ASIN((0.9983271+0.0016764*COS($A$4*2*$G$2))*COS($A$4*AK235)*SIN($A$4*AJ235))/$A$4</f>
        <v>0.789270774424155</v>
      </c>
      <c r="AM235" s="18" t="n">
        <f aca="false">AK235-AL235</f>
        <v>-38.0335824019558</v>
      </c>
      <c r="AN235" s="10" t="n">
        <f aca="false"> IF(280.4664567 + 360007.6982779*M235/10 + 0.03032028*M235^2/100 + M235^3/49931000&lt;0,MOD(280.4664567 + 360007.6982779*M235/10 + 0.03032028*M235^2/100 + M235^3/49931000+360,360),MOD(280.4664567 + 360007.6982779*M235/10 + 0.03032028*M235^2/100 + M235^3/49931000,360))</f>
        <v>218.424543284676</v>
      </c>
      <c r="AO235" s="27" t="n">
        <f aca="false"> AN235 + (1.9146 - 0.004817*M235 - 0.000014*M235^2)*SIN(R235)+ (0.019993 - 0.000101*M235)*SIN(2*R235)+ 0.00029*SIN(3*R235)</f>
        <v>216.676342273449</v>
      </c>
      <c r="AP235" s="18" t="n">
        <f aca="false">ACOS(COS(X235-$A$4*AO235)*COS(Y235))/$A$4</f>
        <v>61.6091909432564</v>
      </c>
      <c r="AQ235" s="25" t="n">
        <f aca="false">180 - AP235 -0.1468*(1-0.0549*SIN(R235))*SIN($A$4*AP235)/(1-0.0167*SIN($A$4*AO235))</f>
        <v>118.256583370883</v>
      </c>
      <c r="AR235" s="25" t="n">
        <f aca="false">SIN($A$4*AI235)</f>
        <v>0.272355340486113</v>
      </c>
      <c r="AS235" s="25" t="n">
        <f aca="false">COS($A$4*AI235)*SIN($A$4*$G$2) - TAN($A$4*AG235)*COS($A$4*$G$2)</f>
        <v>0.855140048081432</v>
      </c>
      <c r="AT235" s="25" t="n">
        <f aca="false">IF(OR(AND(AR235*AS235&gt;0), AND(AR235&lt;0,AS235&gt;0)), MOD(ATAN2(AS235,AR235)/$A$4+360,360),  ATAN2(AS235,AR235)/$A$4)</f>
        <v>17.666265689662</v>
      </c>
      <c r="AU235" s="29" t="n">
        <f aca="false">(1+SIN($A$4*H235)*SIN($A$4*AJ235))*120*ASIN(0.272481*SIN($A$4*AJ235))/$A$4</f>
        <v>32.0883864978069</v>
      </c>
      <c r="AV235" s="10" t="n">
        <f aca="false">COS(X235)</f>
        <v>0.142577774898519</v>
      </c>
      <c r="AW235" s="10" t="n">
        <f aca="false">SIN(X235)</f>
        <v>-0.989783601654921</v>
      </c>
      <c r="AX235" s="30" t="n">
        <f aca="false"> 385000.56 + (-20905355*COS(Q235) - 3699111*COS(2*S235-Q235) - 2955968*COS(2*S235) - 569925*COS(2*Q235) + (1-0.002516*M235)*48888*COS(R235) - 3149*COS(2*T235)  +246158*COS(2*S235-2*Q235) -(1-0.002516*M235)*152138*COS(2*S235-R235-Q235) -170733*COS(2*S235+Q235) -(1-0.002516*M235)*204586*COS(2*S235-R235) -(1-0.002516*M235)*129620*COS(R235-Q235)  + 108743*COS(S235) +(1-0.002516*M235)*104755*COS(R235+Q235) +10321*COS(2*S235-2*T235) +79661*COS(Q235-2*T235) -34782*COS(4*S235-Q235) -23210*COS(3*Q235)  -21636*COS(4*S235-2*Q235) +(1-0.002516*M235)*24208*COS(2*S235+R235-Q235) +(1-0.002516*M235)*30824*COS(2*S235+R235) -8379*COS(S235-Q235) -(1-0.002516*M235)*16675*COS(S235+R235)  -(1-0.002516*M235)*12831*COS(2*S235-R235+Q235) -10445*COS(2*S235+2*Q235) -11650*COS(4*S235) +14403*COS(2*S235-3*Q235) -(1-0.002516*M235)*7003*COS(R235-2*Q235)  + (1-0.002516*M235)*10056*COS(2*S235-R235-2*Q235) +6322*COS(S235+Q235) -(1-0.002516*M235)*(1-0.002516*M235)*9884*COS(2*S235-2*R235) +(1-0.002516*M235)*5751*COS(R235+2*Q235) -(1-0.002516*M235)*(1-0.002516*M235)*4950*COS(2*S235-2*R235-Q235)  +4130*COS(2*S235+Q235-2*T235) -(1-0.002516*M235)*3958*COS(4*S235-R235-Q235) +3258*COS(3*S235-Q235) +(1-0.002516*M235)*2616*COS(2*S235+R235+Q235) -(1-0.002516*M235)*1897*COS(4*S235-R235-2*Q235)  -(1-0.002516*M235)*(1-0.002516*M235)*2117*COS(2*R235-Q235) +(1-0.002516*M235)*(1-0.002516*M235)*2354*COS(2*S235+2*R235-Q235) -1423*COS(4*S235+Q235) -1117*COS(4*Q235) -(1-0.002516*M235)*1571*COS(4*S235-R235)  -1739*COS(S235-2*Q235) -4421*COS(2*Q235-2*T235) +(1-0.002516*M235)*(1-0.002516*M235)*1165*COS(2*R235+Q235) +8752*COS(2*S235-Q235-2*T235))/1000</f>
        <v>368397.249679284</v>
      </c>
      <c r="AY235" s="10" t="n">
        <f aca="false">IF($A$7&gt;29,AY234+1/8,"")</f>
        <v>30.125</v>
      </c>
      <c r="AZ235" s="17" t="n">
        <f aca="false">AZ234+1</f>
        <v>234</v>
      </c>
      <c r="BA235" s="32" t="n">
        <f aca="false">ATAN(0.99664719*TAN($A$4*input!$E$2))</f>
        <v>-0.400219206115995</v>
      </c>
      <c r="BB235" s="32" t="n">
        <f aca="false">COS(BA235)</f>
        <v>0.920975608992155</v>
      </c>
      <c r="BC235" s="32" t="n">
        <f aca="false">0.99664719*SIN(BA235)</f>
        <v>-0.388313912533463</v>
      </c>
      <c r="BD235" s="32" t="n">
        <f aca="false">6378.14/AX235</f>
        <v>0.0173132128580021</v>
      </c>
      <c r="BE235" s="33" t="n">
        <f aca="false">MOD(N235-15*AH235,360)</f>
        <v>164.195528471676</v>
      </c>
      <c r="BF235" s="27" t="n">
        <f aca="false">COS($A$4*AG235)*SIN($A$4*BE235)</f>
        <v>0.241582639142037</v>
      </c>
      <c r="BG235" s="27" t="n">
        <f aca="false">COS($A$4*AG235)*COS($A$4*BE235)-BB235*BD235</f>
        <v>-0.869425752015524</v>
      </c>
      <c r="BH235" s="27" t="n">
        <f aca="false">SIN($A$4*AG235)-BC235*BD235</f>
        <v>-0.455022113497841</v>
      </c>
      <c r="BI235" s="46" t="n">
        <f aca="false">SQRT(BF235^2+BG235^2+BH235^2)</f>
        <v>1.01059805737723</v>
      </c>
      <c r="BJ235" s="35" t="n">
        <f aca="false">AX235*BI235</f>
        <v>372301.544868999</v>
      </c>
    </row>
    <row r="236" customFormat="false" ht="15" hidden="false" customHeight="false" outlineLevel="0" collapsed="false">
      <c r="A236" s="20"/>
      <c r="B236" s="20"/>
      <c r="C236" s="15" t="n">
        <f aca="false">MOD(C235+3,24)</f>
        <v>6</v>
      </c>
      <c r="D236" s="17" t="n">
        <v>30</v>
      </c>
      <c r="E236" s="102" t="n">
        <f aca="false">input!$C$2</f>
        <v>10</v>
      </c>
      <c r="F236" s="102" t="n">
        <f aca="false">input!$D$2</f>
        <v>2022</v>
      </c>
      <c r="H236" s="39" t="n">
        <f aca="false">AM236</f>
        <v>-33.8920485421481</v>
      </c>
      <c r="I236" s="48" t="n">
        <f aca="false">H236+1.02/(TAN($A$4*(H236+10.3/(H236+5.11)))*60)</f>
        <v>-33.917016470167</v>
      </c>
      <c r="J236" s="39" t="n">
        <f aca="false">100*(1+COS($A$4*AQ236))/2</f>
        <v>27.6183143295222</v>
      </c>
      <c r="K236" s="48" t="n">
        <f aca="false">IF(AI236&gt;180,AT236-180,AT236+180)</f>
        <v>150.945011780788</v>
      </c>
      <c r="L236" s="10" t="n">
        <f aca="false">L235+1/8</f>
        <v>2459882.75</v>
      </c>
      <c r="M236" s="49" t="n">
        <f aca="false">(L236-2451545)/36525</f>
        <v>0.228275154004107</v>
      </c>
      <c r="N236" s="15" t="n">
        <f aca="false">MOD(280.46061837+360.98564736629*(L236-2451545)+0.000387933*M236^2-M236^3/38710000+$G$4,360)</f>
        <v>128.54196686903</v>
      </c>
      <c r="O236" s="18" t="n">
        <f aca="false">0.60643382+1336.85522467*M236 - 0.00000313*M236^2 - INT(0.60643382+1336.85522467*M236 - 0.00000313*M236^2)</f>
        <v>0.77726594963616</v>
      </c>
      <c r="P236" s="15" t="n">
        <f aca="false">22640*SIN(Q236)-4586*SIN(Q236-2*S236)+2370*SIN(2*S236)+769*SIN(2*Q236)-668*SIN(R236)-412*SIN(2*T236)-212*SIN(2*Q236-2*S236)-206*SIN(Q236+R236-2*S236)+192*SIN(Q236+2*S236)-165*SIN(R236-2*S236)-125*SIN(S236)-110*SIN(Q236+R236)+148*SIN(Q236-R236)-55*SIN(2*T236-2*S236)</f>
        <v>616.45853263135</v>
      </c>
      <c r="Q236" s="18" t="n">
        <f aca="false">2*PI()*(0.374897+1325.55241*M236 - INT(0.374897+1325.55241*M236))</f>
        <v>6.06690256995259</v>
      </c>
      <c r="R236" s="26" t="n">
        <f aca="false">2*PI()*(0.99312619+99.99735956*M236 - 0.00000044*M236^2 - INT(0.99312619+99.99735956*M236- 0.00000044*M236^2))</f>
        <v>5.15245586912972</v>
      </c>
      <c r="S236" s="26" t="n">
        <f aca="false">2*PI()*(0.827361+1236.853086*M236 - INT(0.827361+1236.853086*M236))</f>
        <v>1.06933334145016</v>
      </c>
      <c r="T236" s="26" t="n">
        <f aca="false">2*PI()*(0.259086+1342.227825*M236 - INT(0.259086+1342.227825*M236))</f>
        <v>4.12396528641489</v>
      </c>
      <c r="U236" s="26" t="n">
        <f aca="false">T236+(P236+412*SIN(2*T236)+541*SIN(R236))/206264.8062</f>
        <v>4.12642544584469</v>
      </c>
      <c r="V236" s="26" t="n">
        <f aca="false">T236-2*S236</f>
        <v>1.98529860351457</v>
      </c>
      <c r="W236" s="25" t="n">
        <f aca="false">-526*SIN(V236)+44*SIN(Q236+V236)-31*SIN(-Q236+V236)-23*SIN(R236+V236)+11*SIN(-R236+V236)-25*SIN(-2*Q236+T236)+21*SIN(-Q236+T236)</f>
        <v>-475.285815162209</v>
      </c>
      <c r="X236" s="26" t="n">
        <f aca="false">2*PI()*(O236+P236/1296000-INT(O236+P236/1296000))</f>
        <v>4.88669466982947</v>
      </c>
      <c r="Y236" s="26" t="n">
        <f aca="false">(18520*SIN(U236)+W236)/206264.8062</f>
        <v>-0.0771133620072774</v>
      </c>
      <c r="Z236" s="26" t="n">
        <f aca="false">Y236*180/PI()</f>
        <v>-4.41827018708146</v>
      </c>
      <c r="AA236" s="26" t="n">
        <f aca="false">COS(Y236)*COS(X236)</f>
        <v>0.172909013600452</v>
      </c>
      <c r="AB236" s="26" t="n">
        <f aca="false">COS(Y236)*SIN(X236)</f>
        <v>-0.981920454981874</v>
      </c>
      <c r="AC236" s="26" t="n">
        <f aca="false">SIN(Y236)</f>
        <v>-0.0770369593371191</v>
      </c>
      <c r="AD236" s="26" t="n">
        <f aca="false">COS($A$4*(23.4393-46.815*M236/3600))*AB236-SIN($A$4*(23.4393-46.815*M236/3600))*AC236</f>
        <v>-0.870274686956527</v>
      </c>
      <c r="AE236" s="26" t="n">
        <f aca="false">SIN($A$4*(23.4393-46.815*M236/3600))*AB236+COS($A$4*(23.4393-46.815*M236/3600))*AC236</f>
        <v>-0.461220600427212</v>
      </c>
      <c r="AF236" s="26" t="n">
        <f aca="false">SQRT(1-AE236*AE236)</f>
        <v>0.887285499566832</v>
      </c>
      <c r="AG236" s="10" t="n">
        <f aca="false">ATAN(AE236/AF236)/$A$4</f>
        <v>-27.4658987013999</v>
      </c>
      <c r="AH236" s="26" t="n">
        <f aca="false">IF(24*ATAN(AD236/(AA236+AF236))/PI()&gt;0,24*ATAN(AD236/(AA236+AF236))/PI(),24*ATAN(AD236/(AA236+AF236))/PI()+24)</f>
        <v>18.749158152051</v>
      </c>
      <c r="AI236" s="10" t="n">
        <f aca="false">IF(N236-15*AH236&gt;0,N236-15*AH236,360+N236-15*AH236)</f>
        <v>207.304594588265</v>
      </c>
      <c r="AJ236" s="18" t="n">
        <f aca="false">0.950724+0.051818*COS(Q236)+0.009531*COS(2*S236-Q236)+0.007843*COS(2*S236)+0.002824*COS(2*Q236)+0.000857*COS(2*S236+Q236)+0.000533*COS(2*S236-R236)+0.000401*COS(2*S236-R236-Q236)+0.00032*COS(Q236-R236)-0.000271*COS(S236)</f>
        <v>0.991813041926164</v>
      </c>
      <c r="AK236" s="50" t="n">
        <f aca="false">ASIN(COS($A$4*$G$2)*COS($A$4*AG236)*COS($A$4*AI236)+SIN($A$4*$G$2)*SIN($A$4*AG236))/$A$4</f>
        <v>-33.0612570906958</v>
      </c>
      <c r="AL236" s="18" t="n">
        <f aca="false">ASIN((0.9983271+0.0016764*COS($A$4*2*$G$2))*COS($A$4*AK236)*SIN($A$4*AJ236))/$A$4</f>
        <v>0.830791451452305</v>
      </c>
      <c r="AM236" s="18" t="n">
        <f aca="false">AK236-AL236</f>
        <v>-33.8920485421481</v>
      </c>
      <c r="AN236" s="10" t="n">
        <f aca="false"> IF(280.4664567 + 360007.6982779*M236/10 + 0.03032028*M236^2/100 + M236^3/49931000&lt;0,MOD(280.4664567 + 360007.6982779*M236/10 + 0.03032028*M236^2/100 + M236^3/49931000+360,360),MOD(280.4664567 + 360007.6982779*M236/10 + 0.03032028*M236^2/100 + M236^3/49931000,360))</f>
        <v>218.547749205161</v>
      </c>
      <c r="AO236" s="27" t="n">
        <f aca="false"> AN236 + (1.9146 - 0.004817*M236 - 0.000014*M236^2)*SIN(R236)+ (0.019993 - 0.000101*M236)*SIN(2*R236)+ 0.00029*SIN(3*R236)</f>
        <v>216.801240317626</v>
      </c>
      <c r="AP236" s="18" t="n">
        <f aca="false">ACOS(COS(X236-$A$4*AO236)*COS(Y236))/$A$4</f>
        <v>63.2717698965866</v>
      </c>
      <c r="AQ236" s="25" t="n">
        <f aca="false">180 - AP236 -0.1468*(1-0.0549*SIN(R236))*SIN($A$4*AP236)/(1-0.0167*SIN($A$4*AO236))</f>
        <v>116.591966516282</v>
      </c>
      <c r="AR236" s="25" t="n">
        <f aca="false">SIN($A$4*AI236)</f>
        <v>-0.458720811841259</v>
      </c>
      <c r="AS236" s="25" t="n">
        <f aca="false">COS($A$4*AI236)*SIN($A$4*$G$2) - TAN($A$4*AG236)*COS($A$4*$G$2)</f>
        <v>0.82568442203759</v>
      </c>
      <c r="AT236" s="25" t="n">
        <f aca="false">IF(OR(AND(AR236*AS236&gt;0), AND(AR236&lt;0,AS236&gt;0)), MOD(ATAN2(AS236,AR236)/$A$4+360,360),  ATAN2(AS236,AR236)/$A$4)</f>
        <v>330.945011780788</v>
      </c>
      <c r="AU236" s="29" t="n">
        <f aca="false">(1+SIN($A$4*H236)*SIN($A$4*AJ236))*120*ASIN(0.272481*SIN($A$4*AJ236))/$A$4</f>
        <v>32.1155153875297</v>
      </c>
      <c r="AV236" s="10" t="n">
        <f aca="false">COS(X236)</f>
        <v>0.173424389652658</v>
      </c>
      <c r="AW236" s="10" t="n">
        <f aca="false">SIN(X236)</f>
        <v>-0.984847186660755</v>
      </c>
      <c r="AX236" s="30" t="n">
        <f aca="false"> 385000.56 + (-20905355*COS(Q236) - 3699111*COS(2*S236-Q236) - 2955968*COS(2*S236) - 569925*COS(2*Q236) + (1-0.002516*M236)*48888*COS(R236) - 3149*COS(2*T236)  +246158*COS(2*S236-2*Q236) -(1-0.002516*M236)*152138*COS(2*S236-R236-Q236) -170733*COS(2*S236+Q236) -(1-0.002516*M236)*204586*COS(2*S236-R236) -(1-0.002516*M236)*129620*COS(R236-Q236)  + 108743*COS(S236) +(1-0.002516*M236)*104755*COS(R236+Q236) +10321*COS(2*S236-2*T236) +79661*COS(Q236-2*T236) -34782*COS(4*S236-Q236) -23210*COS(3*Q236)  -21636*COS(4*S236-2*Q236) +(1-0.002516*M236)*24208*COS(2*S236+R236-Q236) +(1-0.002516*M236)*30824*COS(2*S236+R236) -8379*COS(S236-Q236) -(1-0.002516*M236)*16675*COS(S236+R236)  -(1-0.002516*M236)*12831*COS(2*S236-R236+Q236) -10445*COS(2*S236+2*Q236) -11650*COS(4*S236) +14403*COS(2*S236-3*Q236) -(1-0.002516*M236)*7003*COS(R236-2*Q236)  + (1-0.002516*M236)*10056*COS(2*S236-R236-2*Q236) +6322*COS(S236+Q236) -(1-0.002516*M236)*(1-0.002516*M236)*9884*COS(2*S236-2*R236) +(1-0.002516*M236)*5751*COS(R236+2*Q236) -(1-0.002516*M236)*(1-0.002516*M236)*4950*COS(2*S236-2*R236-Q236)  +4130*COS(2*S236+Q236-2*T236) -(1-0.002516*M236)*3958*COS(4*S236-R236-Q236) +3258*COS(3*S236-Q236) +(1-0.002516*M236)*2616*COS(2*S236+R236+Q236) -(1-0.002516*M236)*1897*COS(4*S236-R236-2*Q236)  -(1-0.002516*M236)*(1-0.002516*M236)*2117*COS(2*R236-Q236) +(1-0.002516*M236)*(1-0.002516*M236)*2354*COS(2*S236+2*R236-Q236) -1423*COS(4*S236+Q236) -1117*COS(4*Q236) -(1-0.002516*M236)*1571*COS(4*S236-R236)  -1739*COS(S236-2*Q236) -4421*COS(2*Q236-2*T236) +(1-0.002516*M236)*(1-0.002516*M236)*1165*COS(2*R236+Q236) +8752*COS(2*S236-Q236-2*T236))/1000</f>
        <v>368452.539295416</v>
      </c>
      <c r="AY236" s="10" t="n">
        <f aca="false">IF($A$7&gt;29,AY235+1/8,"")</f>
        <v>30.25</v>
      </c>
      <c r="AZ236" s="17" t="n">
        <f aca="false">AZ235+1</f>
        <v>235</v>
      </c>
      <c r="BA236" s="32" t="n">
        <f aca="false">ATAN(0.99664719*TAN($A$4*input!$E$2))</f>
        <v>-0.400219206115995</v>
      </c>
      <c r="BB236" s="32" t="n">
        <f aca="false">COS(BA236)</f>
        <v>0.920975608992155</v>
      </c>
      <c r="BC236" s="32" t="n">
        <f aca="false">0.99664719*SIN(BA236)</f>
        <v>-0.388313912533463</v>
      </c>
      <c r="BD236" s="32" t="n">
        <f aca="false">6378.14/AX236</f>
        <v>0.0173106148547566</v>
      </c>
      <c r="BE236" s="33" t="n">
        <f aca="false">MOD(N236-15*AH236,360)</f>
        <v>207.304594588265</v>
      </c>
      <c r="BF236" s="27" t="n">
        <f aca="false">COS($A$4*AG236)*SIN($A$4*BE236)</f>
        <v>-0.407016324696274</v>
      </c>
      <c r="BG236" s="27" t="n">
        <f aca="false">COS($A$4*AG236)*COS($A$4*BE236)-BB236*BD236</f>
        <v>-0.804367202871723</v>
      </c>
      <c r="BH236" s="27" t="n">
        <f aca="false">SIN($A$4*AG236)-BC236*BD236</f>
        <v>-0.454498647844601</v>
      </c>
      <c r="BI236" s="46" t="n">
        <f aca="false">SQRT(BF236^2+BG236^2+BH236^2)</f>
        <v>1.0095731308417</v>
      </c>
      <c r="BJ236" s="35" t="n">
        <f aca="false">AX236*BI236</f>
        <v>371979.783663048</v>
      </c>
    </row>
    <row r="237" customFormat="false" ht="15" hidden="false" customHeight="false" outlineLevel="0" collapsed="false">
      <c r="A237" s="20"/>
      <c r="B237" s="20"/>
      <c r="C237" s="15" t="n">
        <f aca="false">MOD(C236+3,24)</f>
        <v>9</v>
      </c>
      <c r="D237" s="17" t="n">
        <v>30</v>
      </c>
      <c r="E237" s="102" t="n">
        <f aca="false">input!$C$2</f>
        <v>10</v>
      </c>
      <c r="F237" s="102" t="n">
        <f aca="false">input!$D$2</f>
        <v>2022</v>
      </c>
      <c r="H237" s="39" t="n">
        <f aca="false">AM237</f>
        <v>-6.38496389929368</v>
      </c>
      <c r="I237" s="48" t="n">
        <f aca="false">H237+1.02/(TAN($A$4*(H237+10.3/(H237+5.11)))*60)</f>
        <v>-6.45087060939463</v>
      </c>
      <c r="J237" s="39" t="n">
        <f aca="false">100*(1+COS($A$4*AQ237))/2</f>
        <v>28.9255616587511</v>
      </c>
      <c r="K237" s="48" t="n">
        <f aca="false">IF(AI237&gt;180,AT237-180,AT237+180)</f>
        <v>122.842705293538</v>
      </c>
      <c r="L237" s="10" t="n">
        <f aca="false">L236+1/8</f>
        <v>2459882.875</v>
      </c>
      <c r="M237" s="49" t="n">
        <f aca="false">(L237-2451545)/36525</f>
        <v>0.228278576317591</v>
      </c>
      <c r="N237" s="15" t="n">
        <f aca="false">MOD(280.46061837+360.98564736629*(L237-2451545)+0.000387933*M237^2-M237^3/38710000+$G$4,360)</f>
        <v>173.665172790643</v>
      </c>
      <c r="O237" s="18" t="n">
        <f aca="false">0.60643382+1336.85522467*M237 - 0.00000313*M237^2 - INT(0.60643382+1336.85522467*M237 - 0.00000313*M237^2)</f>
        <v>0.781841087292719</v>
      </c>
      <c r="P237" s="15" t="n">
        <f aca="false">22640*SIN(Q237)-4586*SIN(Q237-2*S237)+2370*SIN(2*S237)+769*SIN(2*Q237)-668*SIN(R237)-412*SIN(2*T237)-212*SIN(2*Q237-2*S237)-206*SIN(Q237+R237-2*S237)+192*SIN(Q237+2*S237)-165*SIN(R237-2*S237)-125*SIN(S237)-110*SIN(Q237+R237)+148*SIN(Q237-R237)-55*SIN(2*T237-2*S237)</f>
        <v>1128.27979197649</v>
      </c>
      <c r="Q237" s="18" t="n">
        <f aca="false">2*PI()*(0.374897+1325.55241*M237 - INT(0.374897+1325.55241*M237))</f>
        <v>6.09540596292438</v>
      </c>
      <c r="R237" s="26" t="n">
        <f aca="false">2*PI()*(0.99312619+99.99735956*M237 - 0.00000044*M237^2 - INT(0.99312619+99.99735956*M237- 0.00000044*M237^2))</f>
        <v>5.1546061153278</v>
      </c>
      <c r="S237" s="26" t="n">
        <f aca="false">2*PI()*(0.827361+1236.853086*M237 - INT(0.827361+1236.853086*M237))</f>
        <v>1.09592943021473</v>
      </c>
      <c r="T237" s="26" t="n">
        <f aca="false">2*PI()*(0.259086+1342.227825*M237 - INT(0.259086+1342.227825*M237))</f>
        <v>4.15282725133229</v>
      </c>
      <c r="U237" s="26" t="n">
        <f aca="false">T237+(P237+412*SIN(2*T237)+541*SIN(R237))/206264.8062</f>
        <v>4.1577238944604</v>
      </c>
      <c r="V237" s="26" t="n">
        <f aca="false">T237-2*S237</f>
        <v>1.96096839090284</v>
      </c>
      <c r="W237" s="25" t="n">
        <f aca="false">-526*SIN(V237)+44*SIN(Q237+V237)-31*SIN(-Q237+V237)-23*SIN(R237+V237)+11*SIN(-R237+V237)-25*SIN(-2*Q237+T237)+21*SIN(-Q237+T237)</f>
        <v>-480.7554999235</v>
      </c>
      <c r="X237" s="26" t="n">
        <f aca="false">2*PI()*(O237+P237/1296000-INT(O237+P237/1296000))</f>
        <v>4.91792248701962</v>
      </c>
      <c r="Y237" s="26" t="n">
        <f aca="false">(18520*SIN(U237)+W237)/206264.8062</f>
        <v>-0.0786570403981113</v>
      </c>
      <c r="Z237" s="26" t="n">
        <f aca="false">Y237*180/PI()</f>
        <v>-4.50671644380179</v>
      </c>
      <c r="AA237" s="26" t="n">
        <f aca="false">COS(Y237)*COS(X237)</f>
        <v>0.203458448258363</v>
      </c>
      <c r="AB237" s="26" t="n">
        <f aca="false">COS(Y237)*SIN(X237)</f>
        <v>-0.975925447293427</v>
      </c>
      <c r="AC237" s="26" t="n">
        <f aca="false">SIN(Y237)</f>
        <v>-0.0785759578842213</v>
      </c>
      <c r="AD237" s="26" t="n">
        <f aca="false">COS($A$4*(23.4393-46.815*M237/3600))*AB237-SIN($A$4*(23.4393-46.815*M237/3600))*AC237</f>
        <v>-0.864162146597123</v>
      </c>
      <c r="AE237" s="26" t="n">
        <f aca="false">SIN($A$4*(23.4393-46.815*M237/3600))*AB237+COS($A$4*(23.4393-46.815*M237/3600))*AC237</f>
        <v>-0.460248241953135</v>
      </c>
      <c r="AF237" s="26" t="n">
        <f aca="false">SQRT(1-AE237*AE237)</f>
        <v>0.887790265647832</v>
      </c>
      <c r="AG237" s="10" t="n">
        <f aca="false">ATAN(AE237/AF237)/$A$4</f>
        <v>-27.4031272611519</v>
      </c>
      <c r="AH237" s="26" t="n">
        <f aca="false">IF(24*ATAN(AD237/(AA237+AF237))/PI()&gt;0,24*ATAN(AD237/(AA237+AF237))/PI(),24*ATAN(AD237/(AA237+AF237))/PI()+24)</f>
        <v>18.8832297793281</v>
      </c>
      <c r="AI237" s="10" t="n">
        <f aca="false">IF(N237-15*AH237&gt;0,N237-15*AH237,360+N237-15*AH237)</f>
        <v>250.416726100721</v>
      </c>
      <c r="AJ237" s="18" t="n">
        <f aca="false">0.950724+0.051818*COS(Q237)+0.009531*COS(2*S237-Q237)+0.007843*COS(2*S237)+0.002824*COS(2*Q237)+0.000857*COS(2*S237+Q237)+0.000533*COS(2*S237-R237)+0.000401*COS(2*S237-R237-Q237)+0.00032*COS(Q237-R237)-0.000271*COS(S237)</f>
        <v>0.991604828659736</v>
      </c>
      <c r="AK237" s="50" t="n">
        <f aca="false">ASIN(COS($A$4*$G$2)*COS($A$4*AG237)*COS($A$4*AI237)+SIN($A$4*$G$2)*SIN($A$4*AG237))/$A$4</f>
        <v>-5.39825937009004</v>
      </c>
      <c r="AL237" s="18" t="n">
        <f aca="false">ASIN((0.9983271+0.0016764*COS($A$4*2*$G$2))*COS($A$4*AK237)*SIN($A$4*AJ237))/$A$4</f>
        <v>0.986704529203633</v>
      </c>
      <c r="AM237" s="18" t="n">
        <f aca="false">AK237-AL237</f>
        <v>-6.38496389929368</v>
      </c>
      <c r="AN237" s="10" t="n">
        <f aca="false"> IF(280.4664567 + 360007.6982779*M237/10 + 0.03032028*M237^2/100 + M237^3/49931000&lt;0,MOD(280.4664567 + 360007.6982779*M237/10 + 0.03032028*M237^2/100 + M237^3/49931000+360,360),MOD(280.4664567 + 360007.6982779*M237/10 + 0.03032028*M237^2/100 + M237^3/49931000,360))</f>
        <v>218.670955125648</v>
      </c>
      <c r="AO237" s="27" t="n">
        <f aca="false"> AN237 + (1.9146 - 0.004817*M237 - 0.000014*M237^2)*SIN(R237)+ (0.019993 - 0.000101*M237)*SIN(2*R237)+ 0.00029*SIN(3*R237)</f>
        <v>216.926146647715</v>
      </c>
      <c r="AP237" s="18" t="n">
        <f aca="false">ACOS(COS(X237-$A$4*AO237)*COS(Y237))/$A$4</f>
        <v>64.9331995705846</v>
      </c>
      <c r="AQ237" s="25" t="n">
        <f aca="false">180 - AP237 -0.1468*(1-0.0549*SIN(R237))*SIN($A$4*AP237)/(1-0.0167*SIN($A$4*AO237))</f>
        <v>114.928615293953</v>
      </c>
      <c r="AR237" s="25" t="n">
        <f aca="false">SIN($A$4*AI237)</f>
        <v>-0.942155339521417</v>
      </c>
      <c r="AS237" s="25" t="n">
        <f aca="false">COS($A$4*AI237)*SIN($A$4*$G$2) - TAN($A$4*AG237)*COS($A$4*$G$2)</f>
        <v>0.608172048629763</v>
      </c>
      <c r="AT237" s="25" t="n">
        <f aca="false">IF(OR(AND(AR237*AS237&gt;0), AND(AR237&lt;0,AS237&gt;0)), MOD(ATAN2(AS237,AR237)/$A$4+360,360),  ATAN2(AS237,AR237)/$A$4)</f>
        <v>302.842705293538</v>
      </c>
      <c r="AU237" s="29" t="n">
        <f aca="false">(1+SIN($A$4*H237)*SIN($A$4*AJ237))*120*ASIN(0.272481*SIN($A$4*AJ237))/$A$4</f>
        <v>32.359321169802</v>
      </c>
      <c r="AV237" s="10" t="n">
        <f aca="false">COS(X237)</f>
        <v>0.20408946644065</v>
      </c>
      <c r="AW237" s="10" t="n">
        <f aca="false">SIN(X237)</f>
        <v>-0.978952240759462</v>
      </c>
      <c r="AX237" s="30" t="n">
        <f aca="false"> 385000.56 + (-20905355*COS(Q237) - 3699111*COS(2*S237-Q237) - 2955968*COS(2*S237) - 569925*COS(2*Q237) + (1-0.002516*M237)*48888*COS(R237) - 3149*COS(2*T237)  +246158*COS(2*S237-2*Q237) -(1-0.002516*M237)*152138*COS(2*S237-R237-Q237) -170733*COS(2*S237+Q237) -(1-0.002516*M237)*204586*COS(2*S237-R237) -(1-0.002516*M237)*129620*COS(R237-Q237)  + 108743*COS(S237) +(1-0.002516*M237)*104755*COS(R237+Q237) +10321*COS(2*S237-2*T237) +79661*COS(Q237-2*T237) -34782*COS(4*S237-Q237) -23210*COS(3*Q237)  -21636*COS(4*S237-2*Q237) +(1-0.002516*M237)*24208*COS(2*S237+R237-Q237) +(1-0.002516*M237)*30824*COS(2*S237+R237) -8379*COS(S237-Q237) -(1-0.002516*M237)*16675*COS(S237+R237)  -(1-0.002516*M237)*12831*COS(2*S237-R237+Q237) -10445*COS(2*S237+2*Q237) -11650*COS(4*S237) +14403*COS(2*S237-3*Q237) -(1-0.002516*M237)*7003*COS(R237-2*Q237)  + (1-0.002516*M237)*10056*COS(2*S237-R237-2*Q237) +6322*COS(S237+Q237) -(1-0.002516*M237)*(1-0.002516*M237)*9884*COS(2*S237-2*R237) +(1-0.002516*M237)*5751*COS(R237+2*Q237) -(1-0.002516*M237)*(1-0.002516*M237)*4950*COS(2*S237-2*R237-Q237)  +4130*COS(2*S237+Q237-2*T237) -(1-0.002516*M237)*3958*COS(4*S237-R237-Q237) +3258*COS(3*S237-Q237) +(1-0.002516*M237)*2616*COS(2*S237+R237+Q237) -(1-0.002516*M237)*1897*COS(4*S237-R237-2*Q237)  -(1-0.002516*M237)*(1-0.002516*M237)*2117*COS(2*R237-Q237) +(1-0.002516*M237)*(1-0.002516*M237)*2354*COS(2*S237+2*R237-Q237) -1423*COS(4*S237+Q237) -1117*COS(4*Q237) -(1-0.002516*M237)*1571*COS(4*S237-R237)  -1739*COS(S237-2*Q237) -4421*COS(2*Q237-2*T237) +(1-0.002516*M237)*(1-0.002516*M237)*1165*COS(2*R237+Q237) +8752*COS(2*S237-Q237-2*T237))/1000</f>
        <v>368518.961440057</v>
      </c>
      <c r="AY237" s="10" t="n">
        <f aca="false">IF($A$7&gt;29,AY236+1/8,"")</f>
        <v>30.375</v>
      </c>
      <c r="AZ237" s="17" t="n">
        <f aca="false">AZ236+1</f>
        <v>236</v>
      </c>
      <c r="BA237" s="32" t="n">
        <f aca="false">ATAN(0.99664719*TAN($A$4*input!$E$2))</f>
        <v>-0.400219206115995</v>
      </c>
      <c r="BB237" s="32" t="n">
        <f aca="false">COS(BA237)</f>
        <v>0.920975608992155</v>
      </c>
      <c r="BC237" s="32" t="n">
        <f aca="false">0.99664719*SIN(BA237)</f>
        <v>-0.388313912533463</v>
      </c>
      <c r="BD237" s="32" t="n">
        <f aca="false">6378.14/AX237</f>
        <v>0.0173074947760523</v>
      </c>
      <c r="BE237" s="33" t="n">
        <f aca="false">MOD(N237-15*AH237,360)</f>
        <v>250.416726100721</v>
      </c>
      <c r="BF237" s="27" t="n">
        <f aca="false">COS($A$4*AG237)*SIN($A$4*BE237)</f>
        <v>-0.836436339155242</v>
      </c>
      <c r="BG237" s="27" t="n">
        <f aca="false">COS($A$4*AG237)*COS($A$4*BE237)-BB237*BD237</f>
        <v>-0.313506254324463</v>
      </c>
      <c r="BH237" s="27" t="n">
        <f aca="false">SIN($A$4*AG237)-BC237*BD237</f>
        <v>-0.453527500940494</v>
      </c>
      <c r="BI237" s="46" t="n">
        <f aca="false">SQRT(BF237^2+BG237^2+BH237^2)</f>
        <v>1.00179794123831</v>
      </c>
      <c r="BJ237" s="35" t="n">
        <f aca="false">AX237*BI237</f>
        <v>369181.536877928</v>
      </c>
    </row>
    <row r="238" customFormat="false" ht="15" hidden="false" customHeight="false" outlineLevel="0" collapsed="false">
      <c r="A238" s="20"/>
      <c r="B238" s="20"/>
      <c r="C238" s="15" t="n">
        <f aca="false">MOD(C237+3,24)</f>
        <v>12</v>
      </c>
      <c r="D238" s="17" t="n">
        <v>30</v>
      </c>
      <c r="E238" s="102" t="n">
        <f aca="false">input!$C$2</f>
        <v>10</v>
      </c>
      <c r="F238" s="102" t="n">
        <f aca="false">input!$D$2</f>
        <v>2022</v>
      </c>
      <c r="H238" s="39" t="n">
        <f aca="false">AM238</f>
        <v>29.5327312066795</v>
      </c>
      <c r="I238" s="48" t="n">
        <f aca="false">H238+1.02/(TAN($A$4*(H238+10.3/(H238+5.11)))*60)</f>
        <v>29.5623788110839</v>
      </c>
      <c r="J238" s="39" t="n">
        <f aca="false">100*(1+COS($A$4*AQ238))/2</f>
        <v>30.2494823734236</v>
      </c>
      <c r="K238" s="48" t="n">
        <f aca="false">IF(AI238&gt;180,AT238-180,AT238+180)</f>
        <v>109.203358470302</v>
      </c>
      <c r="L238" s="10" t="n">
        <f aca="false">L237+1/8</f>
        <v>2459883</v>
      </c>
      <c r="M238" s="49" t="n">
        <f aca="false">(L238-2451545)/36525</f>
        <v>0.228281998631075</v>
      </c>
      <c r="N238" s="15" t="n">
        <f aca="false">MOD(280.46061837+360.98564736629*(L238-2451545)+0.000387933*M238^2-M238^3/38710000+$G$4,360)</f>
        <v>218.78837871179</v>
      </c>
      <c r="O238" s="18" t="n">
        <f aca="false">0.60643382+1336.85522467*M238 - 0.00000313*M238^2 - INT(0.60643382+1336.85522467*M238 - 0.00000313*M238^2)</f>
        <v>0.786416224949221</v>
      </c>
      <c r="P238" s="15" t="n">
        <f aca="false">22640*SIN(Q238)-4586*SIN(Q238-2*S238)+2370*SIN(2*S238)+769*SIN(2*Q238)-668*SIN(R238)-412*SIN(2*T238)-212*SIN(2*Q238-2*S238)-206*SIN(Q238+R238-2*S238)+192*SIN(Q238+2*S238)-165*SIN(R238-2*S238)-125*SIN(S238)-110*SIN(Q238+R238)+148*SIN(Q238-R238)-55*SIN(2*T238-2*S238)</f>
        <v>1637.14637657413</v>
      </c>
      <c r="Q238" s="18" t="n">
        <f aca="false">2*PI()*(0.374897+1325.55241*M238 - INT(0.374897+1325.55241*M238))</f>
        <v>6.12390935589618</v>
      </c>
      <c r="R238" s="26" t="n">
        <f aca="false">2*PI()*(0.99312619+99.99735956*M238 - 0.00000044*M238^2 - INT(0.99312619+99.99735956*M238- 0.00000044*M238^2))</f>
        <v>5.15675636152588</v>
      </c>
      <c r="S238" s="26" t="n">
        <f aca="false">2*PI()*(0.827361+1236.853086*M238 - INT(0.827361+1236.853086*M238))</f>
        <v>1.12252551897965</v>
      </c>
      <c r="T238" s="26" t="n">
        <f aca="false">2*PI()*(0.259086+1342.227825*M238 - INT(0.259086+1342.227825*M238))</f>
        <v>4.18168921625005</v>
      </c>
      <c r="U238" s="26" t="n">
        <f aca="false">T238+(P238+412*SIN(2*T238)+541*SIN(R238))/206264.8062</f>
        <v>4.18900204291362</v>
      </c>
      <c r="V238" s="26" t="n">
        <f aca="false">T238-2*S238</f>
        <v>1.93663817829075</v>
      </c>
      <c r="W238" s="25" t="n">
        <f aca="false">-526*SIN(V238)+44*SIN(Q238+V238)-31*SIN(-Q238+V238)-23*SIN(R238+V238)+11*SIN(-R238+V238)-25*SIN(-2*Q238+T238)+21*SIN(-Q238+T238)</f>
        <v>-485.877017551199</v>
      </c>
      <c r="X238" s="26" t="n">
        <f aca="false">2*PI()*(O238+P238/1296000-INT(O238+P238/1296000))</f>
        <v>4.949135979542</v>
      </c>
      <c r="Y238" s="26" t="n">
        <f aca="false">(18520*SIN(U238)+W238)/206264.8062</f>
        <v>-0.0801233572574874</v>
      </c>
      <c r="Z238" s="26" t="n">
        <f aca="false">Y238*180/PI()</f>
        <v>-4.59073021127292</v>
      </c>
      <c r="AA238" s="26" t="n">
        <f aca="false">COS(Y238)*COS(X238)</f>
        <v>0.233789164204051</v>
      </c>
      <c r="AB238" s="26" t="n">
        <f aca="false">COS(Y238)*SIN(X238)</f>
        <v>-0.968987409778423</v>
      </c>
      <c r="AC238" s="26" t="n">
        <f aca="false">SIN(Y238)</f>
        <v>-0.0800376560855776</v>
      </c>
      <c r="AD238" s="26" t="n">
        <f aca="false">COS($A$4*(23.4393-46.815*M238/3600))*AB238-SIN($A$4*(23.4393-46.815*M238/3600))*AC238</f>
        <v>-0.857215118558186</v>
      </c>
      <c r="AE238" s="26" t="n">
        <f aca="false">SIN($A$4*(23.4393-46.815*M238/3600))*AB238+COS($A$4*(23.4393-46.815*M238/3600))*AC238</f>
        <v>-0.458829889192112</v>
      </c>
      <c r="AF238" s="26" t="n">
        <f aca="false">SQRT(1-AE238*AE238)</f>
        <v>0.888524131796067</v>
      </c>
      <c r="AG238" s="10" t="n">
        <f aca="false">ATAN(AE238/AF238)/$A$4</f>
        <v>-27.3116281324915</v>
      </c>
      <c r="AH238" s="26" t="n">
        <f aca="false">IF(24*ATAN(AD238/(AA238+AF238))/PI()&gt;0,24*ATAN(AD238/(AA238+AF238))/PI(),24*ATAN(AD238/(AA238+AF238))/PI()+24)</f>
        <v>19.0170212799138</v>
      </c>
      <c r="AI238" s="10" t="n">
        <f aca="false">IF(N238-15*AH238&gt;0,N238-15*AH238,360+N238-15*AH238)</f>
        <v>293.533059513084</v>
      </c>
      <c r="AJ238" s="18" t="n">
        <f aca="false">0.950724+0.051818*COS(Q238)+0.009531*COS(2*S238-Q238)+0.007843*COS(2*S238)+0.002824*COS(2*Q238)+0.000857*COS(2*S238+Q238)+0.000533*COS(2*S238-R238)+0.000401*COS(2*S238-R238-Q238)+0.00032*COS(Q238-R238)-0.000271*COS(S238)</f>
        <v>0.991367749606082</v>
      </c>
      <c r="AK238" s="50" t="n">
        <f aca="false">ASIN(COS($A$4*$G$2)*COS($A$4*AG238)*COS($A$4*AI238)+SIN($A$4*$G$2)*SIN($A$4*AG238))/$A$4</f>
        <v>30.3874634905327</v>
      </c>
      <c r="AL238" s="18" t="n">
        <f aca="false">ASIN((0.9983271+0.0016764*COS($A$4*2*$G$2))*COS($A$4*AK238)*SIN($A$4*AJ238))/$A$4</f>
        <v>0.854732283853207</v>
      </c>
      <c r="AM238" s="18" t="n">
        <f aca="false">AK238-AL238</f>
        <v>29.5327312066795</v>
      </c>
      <c r="AN238" s="10" t="n">
        <f aca="false"> IF(280.4664567 + 360007.6982779*M238/10 + 0.03032028*M238^2/100 + M238^3/49931000&lt;0,MOD(280.4664567 + 360007.6982779*M238/10 + 0.03032028*M238^2/100 + M238^3/49931000+360,360),MOD(280.4664567 + 360007.6982779*M238/10 + 0.03032028*M238^2/100 + M238^3/49931000,360))</f>
        <v>218.794161046135</v>
      </c>
      <c r="AO238" s="27" t="n">
        <f aca="false"> AN238 + (1.9146 - 0.004817*M238 - 0.000014*M238^2)*SIN(R238)+ (0.019993 - 0.000101*M238)*SIN(2*R238)+ 0.00029*SIN(3*R238)</f>
        <v>217.051061256676</v>
      </c>
      <c r="AP238" s="18" t="n">
        <f aca="false">ACOS(COS(X238-$A$4*AO238)*COS(Y238))/$A$4</f>
        <v>66.5933913980493</v>
      </c>
      <c r="AQ238" s="25" t="n">
        <f aca="false">180 - AP238 -0.1468*(1-0.0549*SIN(R238))*SIN($A$4*AP238)/(1-0.0167*SIN($A$4*AO238))</f>
        <v>113.266619723876</v>
      </c>
      <c r="AR238" s="25" t="n">
        <f aca="false">SIN($A$4*AI238)</f>
        <v>-0.916829844584301</v>
      </c>
      <c r="AS238" s="25" t="n">
        <f aca="false">COS($A$4*AI238)*SIN($A$4*$G$2) - TAN($A$4*AG238)*COS($A$4*$G$2)</f>
        <v>0.319334191184073</v>
      </c>
      <c r="AT238" s="25" t="n">
        <f aca="false">IF(OR(AND(AR238*AS238&gt;0), AND(AR238&lt;0,AS238&gt;0)), MOD(ATAN2(AS238,AR238)/$A$4+360,360),  ATAN2(AS238,AR238)/$A$4)</f>
        <v>289.203358470302</v>
      </c>
      <c r="AU238" s="29" t="n">
        <f aca="false">(1+SIN($A$4*H238)*SIN($A$4*AJ238))*120*ASIN(0.272481*SIN($A$4*AJ238))/$A$4</f>
        <v>32.690407020499</v>
      </c>
      <c r="AV238" s="10" t="n">
        <f aca="false">COS(X238)</f>
        <v>0.234541611063972</v>
      </c>
      <c r="AW238" s="10" t="n">
        <f aca="false">SIN(X238)</f>
        <v>-0.972106080980629</v>
      </c>
      <c r="AX238" s="30" t="n">
        <f aca="false"> 385000.56 + (-20905355*COS(Q238) - 3699111*COS(2*S238-Q238) - 2955968*COS(2*S238) - 569925*COS(2*Q238) + (1-0.002516*M238)*48888*COS(R238) - 3149*COS(2*T238)  +246158*COS(2*S238-2*Q238) -(1-0.002516*M238)*152138*COS(2*S238-R238-Q238) -170733*COS(2*S238+Q238) -(1-0.002516*M238)*204586*COS(2*S238-R238) -(1-0.002516*M238)*129620*COS(R238-Q238)  + 108743*COS(S238) +(1-0.002516*M238)*104755*COS(R238+Q238) +10321*COS(2*S238-2*T238) +79661*COS(Q238-2*T238) -34782*COS(4*S238-Q238) -23210*COS(3*Q238)  -21636*COS(4*S238-2*Q238) +(1-0.002516*M238)*24208*COS(2*S238+R238-Q238) +(1-0.002516*M238)*30824*COS(2*S238+R238) -8379*COS(S238-Q238) -(1-0.002516*M238)*16675*COS(S238+R238)  -(1-0.002516*M238)*12831*COS(2*S238-R238+Q238) -10445*COS(2*S238+2*Q238) -11650*COS(4*S238) +14403*COS(2*S238-3*Q238) -(1-0.002516*M238)*7003*COS(R238-2*Q238)  + (1-0.002516*M238)*10056*COS(2*S238-R238-2*Q238) +6322*COS(S238+Q238) -(1-0.002516*M238)*(1-0.002516*M238)*9884*COS(2*S238-2*R238) +(1-0.002516*M238)*5751*COS(R238+2*Q238) -(1-0.002516*M238)*(1-0.002516*M238)*4950*COS(2*S238-2*R238-Q238)  +4130*COS(2*S238+Q238-2*T238) -(1-0.002516*M238)*3958*COS(4*S238-R238-Q238) +3258*COS(3*S238-Q238) +(1-0.002516*M238)*2616*COS(2*S238+R238+Q238) -(1-0.002516*M238)*1897*COS(4*S238-R238-2*Q238)  -(1-0.002516*M238)*(1-0.002516*M238)*2117*COS(2*R238-Q238) +(1-0.002516*M238)*(1-0.002516*M238)*2354*COS(2*S238+2*R238-Q238) -1423*COS(4*S238+Q238) -1117*COS(4*Q238) -(1-0.002516*M238)*1571*COS(4*S238-R238)  -1739*COS(S238-2*Q238) -4421*COS(2*Q238-2*T238) +(1-0.002516*M238)*(1-0.002516*M238)*1165*COS(2*R238+Q238) +8752*COS(2*S238-Q238-2*T238))/1000</f>
        <v>368596.202390732</v>
      </c>
      <c r="AY238" s="10" t="n">
        <f aca="false">IF($A$7&gt;29,AY237+1/8,"")</f>
        <v>30.5</v>
      </c>
      <c r="AZ238" s="17" t="n">
        <f aca="false">AZ237+1</f>
        <v>237</v>
      </c>
      <c r="BA238" s="32" t="n">
        <f aca="false">ATAN(0.99664719*TAN($A$4*input!$E$2))</f>
        <v>-0.400219206115995</v>
      </c>
      <c r="BB238" s="32" t="n">
        <f aca="false">COS(BA238)</f>
        <v>0.920975608992155</v>
      </c>
      <c r="BC238" s="32" t="n">
        <f aca="false">0.99664719*SIN(BA238)</f>
        <v>-0.388313912533463</v>
      </c>
      <c r="BD238" s="32" t="n">
        <f aca="false">6378.14/AX238</f>
        <v>0.0173038679146207</v>
      </c>
      <c r="BE238" s="33" t="n">
        <f aca="false">MOD(N238-15*AH238,360)</f>
        <v>293.533059513084</v>
      </c>
      <c r="BF238" s="27" t="n">
        <f aca="false">COS($A$4*AG238)*SIN($A$4*BE238)</f>
        <v>-0.814625441663989</v>
      </c>
      <c r="BG238" s="27" t="n">
        <f aca="false">COS($A$4*AG238)*COS($A$4*BE238)-BB238*BD238</f>
        <v>0.338831825733454</v>
      </c>
      <c r="BH238" s="27" t="n">
        <f aca="false">SIN($A$4*AG238)-BC238*BD238</f>
        <v>-0.452110556540223</v>
      </c>
      <c r="BI238" s="46" t="n">
        <f aca="false">SQRT(BF238^2+BG238^2+BH238^2)</f>
        <v>0.991375595660507</v>
      </c>
      <c r="BJ238" s="35" t="n">
        <f aca="false">AX238*BI238</f>
        <v>365417.279703312</v>
      </c>
    </row>
    <row r="239" customFormat="false" ht="15" hidden="false" customHeight="false" outlineLevel="0" collapsed="false">
      <c r="A239" s="20"/>
      <c r="B239" s="20"/>
      <c r="C239" s="15" t="n">
        <f aca="false">MOD(C238+3,24)</f>
        <v>15</v>
      </c>
      <c r="D239" s="17" t="n">
        <v>30</v>
      </c>
      <c r="E239" s="102" t="n">
        <f aca="false">input!$C$2</f>
        <v>10</v>
      </c>
      <c r="F239" s="102" t="n">
        <f aca="false">input!$D$2</f>
        <v>2022</v>
      </c>
      <c r="H239" s="39" t="n">
        <f aca="false">AM239</f>
        <v>68.1174882515824</v>
      </c>
      <c r="I239" s="48" t="n">
        <f aca="false">H239+1.02/(TAN($A$4*(H239+10.3/(H239+5.11)))*60)</f>
        <v>68.1242677624145</v>
      </c>
      <c r="J239" s="39" t="n">
        <f aca="false">100*(1+COS($A$4*AQ239))/2</f>
        <v>31.5888522943007</v>
      </c>
      <c r="K239" s="48" t="n">
        <f aca="false">IF(AI239&gt;180,AT239-180,AT239+180)</f>
        <v>106.071167889283</v>
      </c>
      <c r="L239" s="10" t="n">
        <f aca="false">L238+1/8</f>
        <v>2459883.125</v>
      </c>
      <c r="M239" s="49" t="n">
        <f aca="false">(L239-2451545)/36525</f>
        <v>0.228285420944559</v>
      </c>
      <c r="N239" s="15" t="n">
        <f aca="false">MOD(280.46061837+360.98564736629*(L239-2451545)+0.000387933*M239^2-M239^3/38710000+$G$4,360)</f>
        <v>263.911584632937</v>
      </c>
      <c r="O239" s="18" t="n">
        <f aca="false">0.60643382+1336.85522467*M239 - 0.00000313*M239^2 - INT(0.60643382+1336.85522467*M239 - 0.00000313*M239^2)</f>
        <v>0.790991362605837</v>
      </c>
      <c r="P239" s="15" t="n">
        <f aca="false">22640*SIN(Q239)-4586*SIN(Q239-2*S239)+2370*SIN(2*S239)+769*SIN(2*Q239)-668*SIN(R239)-412*SIN(2*T239)-212*SIN(2*Q239-2*S239)-206*SIN(Q239+R239-2*S239)+192*SIN(Q239+2*S239)-165*SIN(R239-2*S239)-125*SIN(S239)-110*SIN(Q239+R239)+148*SIN(Q239-R239)-55*SIN(2*T239-2*S239)</f>
        <v>2142.70878118643</v>
      </c>
      <c r="Q239" s="18" t="n">
        <f aca="false">2*PI()*(0.374897+1325.55241*M239 - INT(0.374897+1325.55241*M239))</f>
        <v>6.15241274886834</v>
      </c>
      <c r="R239" s="26" t="n">
        <f aca="false">2*PI()*(0.99312619+99.99735956*M239 - 0.00000044*M239^2 - INT(0.99312619+99.99735956*M239- 0.00000044*M239^2))</f>
        <v>5.15890660772401</v>
      </c>
      <c r="S239" s="26" t="n">
        <f aca="false">2*PI()*(0.827361+1236.853086*M239 - INT(0.827361+1236.853086*M239))</f>
        <v>1.14912160774457</v>
      </c>
      <c r="T239" s="26" t="n">
        <f aca="false">2*PI()*(0.259086+1342.227825*M239 - INT(0.259086+1342.227825*M239))</f>
        <v>4.21055118116781</v>
      </c>
      <c r="U239" s="26" t="n">
        <f aca="false">T239+(P239+412*SIN(2*T239)+541*SIN(R239))/206264.8062</f>
        <v>4.22025837426027</v>
      </c>
      <c r="V239" s="26" t="n">
        <f aca="false">T239-2*S239</f>
        <v>1.91230796567867</v>
      </c>
      <c r="W239" s="25" t="n">
        <f aca="false">-526*SIN(V239)+44*SIN(Q239+V239)-31*SIN(-Q239+V239)-23*SIN(R239+V239)+11*SIN(-R239+V239)-25*SIN(-2*Q239+T239)+21*SIN(-Q239+T239)</f>
        <v>-490.64544194607</v>
      </c>
      <c r="X239" s="26" t="n">
        <f aca="false">2*PI()*(O239+P239/1296000-INT(O239+P239/1296000))</f>
        <v>4.98033345294848</v>
      </c>
      <c r="Y239" s="26" t="n">
        <f aca="false">(18520*SIN(U239)+W239)/206264.8062</f>
        <v>-0.0815109609489467</v>
      </c>
      <c r="Z239" s="26" t="n">
        <f aca="false">Y239*180/PI()</f>
        <v>-4.67023404643031</v>
      </c>
      <c r="AA239" s="26" t="n">
        <f aca="false">COS(Y239)*COS(X239)</f>
        <v>0.263870800157542</v>
      </c>
      <c r="AB239" s="26" t="n">
        <f aca="false">COS(Y239)*SIN(X239)</f>
        <v>-0.961115427744576</v>
      </c>
      <c r="AC239" s="26" t="n">
        <f aca="false">SIN(Y239)</f>
        <v>-0.0814207306254315</v>
      </c>
      <c r="AD239" s="26" t="n">
        <f aca="false">COS($A$4*(23.4393-46.815*M239/3600))*AB239-SIN($A$4*(23.4393-46.815*M239/3600))*AC239</f>
        <v>-0.84944246495427</v>
      </c>
      <c r="AE239" s="26" t="n">
        <f aca="false">SIN($A$4*(23.4393-46.815*M239/3600))*AB239+COS($A$4*(23.4393-46.815*M239/3600))*AC239</f>
        <v>-0.456967941497686</v>
      </c>
      <c r="AF239" s="26" t="n">
        <f aca="false">SQRT(1-AE239*AE239)</f>
        <v>0.889483164789176</v>
      </c>
      <c r="AG239" s="10" t="n">
        <f aca="false">ATAN(AE239/AF239)/$A$4</f>
        <v>-27.191626706432</v>
      </c>
      <c r="AH239" s="26" t="n">
        <f aca="false">IF(24*ATAN(AD239/(AA239+AF239))/PI()&gt;0,24*ATAN(AD239/(AA239+AF239))/PI(),24*ATAN(AD239/(AA239+AF239))/PI()+24)</f>
        <v>19.1504589353276</v>
      </c>
      <c r="AI239" s="10" t="n">
        <f aca="false">IF(N239-15*AH239&gt;0,N239-15*AH239,360+N239-15*AH239)</f>
        <v>336.654700603023</v>
      </c>
      <c r="AJ239" s="18" t="n">
        <f aca="false">0.950724+0.051818*COS(Q239)+0.009531*COS(2*S239-Q239)+0.007843*COS(2*S239)+0.002824*COS(2*Q239)+0.000857*COS(2*S239+Q239)+0.000533*COS(2*S239-R239)+0.000401*COS(2*S239-R239-Q239)+0.00032*COS(Q239-R239)-0.000271*COS(S239)</f>
        <v>0.991102857998339</v>
      </c>
      <c r="AK239" s="50" t="n">
        <f aca="false">ASIN(COS($A$4*$G$2)*COS($A$4*AG239)*COS($A$4*AI239)+SIN($A$4*$G$2)*SIN($A$4*AG239))/$A$4</f>
        <v>68.480836563603</v>
      </c>
      <c r="AL239" s="18" t="n">
        <f aca="false">ASIN((0.9983271+0.0016764*COS($A$4*2*$G$2))*COS($A$4*AK239)*SIN($A$4*AJ239))/$A$4</f>
        <v>0.363348312020572</v>
      </c>
      <c r="AM239" s="18" t="n">
        <f aca="false">AK239-AL239</f>
        <v>68.1174882515824</v>
      </c>
      <c r="AN239" s="10" t="n">
        <f aca="false"> IF(280.4664567 + 360007.6982779*M239/10 + 0.03032028*M239^2/100 + M239^3/49931000&lt;0,MOD(280.4664567 + 360007.6982779*M239/10 + 0.03032028*M239^2/100 + M239^3/49931000+360,360),MOD(280.4664567 + 360007.6982779*M239/10 + 0.03032028*M239^2/100 + M239^3/49931000,360))</f>
        <v>218.91736696662</v>
      </c>
      <c r="AO239" s="27" t="n">
        <f aca="false"> AN239 + (1.9146 - 0.004817*M239 - 0.000014*M239^2)*SIN(R239)+ (0.019993 - 0.000101*M239)*SIN(2*R239)+ 0.00029*SIN(3*R239)</f>
        <v>217.175984137427</v>
      </c>
      <c r="AP239" s="18" t="n">
        <f aca="false">ACOS(COS(X239-$A$4*AO239)*COS(Y239))/$A$4</f>
        <v>68.2522625668345</v>
      </c>
      <c r="AQ239" s="25" t="n">
        <f aca="false">180 - AP239 -0.1468*(1-0.0549*SIN(R239))*SIN($A$4*AP239)/(1-0.0167*SIN($A$4*AO239))</f>
        <v>111.606063935603</v>
      </c>
      <c r="AR239" s="25" t="n">
        <f aca="false">SIN($A$4*AI239)</f>
        <v>-0.396271524271083</v>
      </c>
      <c r="AS239" s="25" t="n">
        <f aca="false">COS($A$4*AI239)*SIN($A$4*$G$2) - TAN($A$4*AG239)*COS($A$4*$G$2)</f>
        <v>0.114161906868727</v>
      </c>
      <c r="AT239" s="25" t="n">
        <f aca="false">IF(OR(AND(AR239*AS239&gt;0), AND(AR239&lt;0,AS239&gt;0)), MOD(ATAN2(AS239,AR239)/$A$4+360,360),  ATAN2(AS239,AR239)/$A$4)</f>
        <v>286.071167889283</v>
      </c>
      <c r="AU239" s="29" t="n">
        <f aca="false">(1+SIN($A$4*H239)*SIN($A$4*AJ239))*120*ASIN(0.272481*SIN($A$4*AJ239))/$A$4</f>
        <v>32.9254415416939</v>
      </c>
      <c r="AV239" s="10" t="n">
        <f aca="false">COS(X239)</f>
        <v>0.264749817068484</v>
      </c>
      <c r="AW239" s="10" t="n">
        <f aca="false">SIN(X239)</f>
        <v>-0.964317133707685</v>
      </c>
      <c r="AX239" s="30" t="n">
        <f aca="false"> 385000.56 + (-20905355*COS(Q239) - 3699111*COS(2*S239-Q239) - 2955968*COS(2*S239) - 569925*COS(2*Q239) + (1-0.002516*M239)*48888*COS(R239) - 3149*COS(2*T239)  +246158*COS(2*S239-2*Q239) -(1-0.002516*M239)*152138*COS(2*S239-R239-Q239) -170733*COS(2*S239+Q239) -(1-0.002516*M239)*204586*COS(2*S239-R239) -(1-0.002516*M239)*129620*COS(R239-Q239)  + 108743*COS(S239) +(1-0.002516*M239)*104755*COS(R239+Q239) +10321*COS(2*S239-2*T239) +79661*COS(Q239-2*T239) -34782*COS(4*S239-Q239) -23210*COS(3*Q239)  -21636*COS(4*S239-2*Q239) +(1-0.002516*M239)*24208*COS(2*S239+R239-Q239) +(1-0.002516*M239)*30824*COS(2*S239+R239) -8379*COS(S239-Q239) -(1-0.002516*M239)*16675*COS(S239+R239)  -(1-0.002516*M239)*12831*COS(2*S239-R239+Q239) -10445*COS(2*S239+2*Q239) -11650*COS(4*S239) +14403*COS(2*S239-3*Q239) -(1-0.002516*M239)*7003*COS(R239-2*Q239)  + (1-0.002516*M239)*10056*COS(2*S239-R239-2*Q239) +6322*COS(S239+Q239) -(1-0.002516*M239)*(1-0.002516*M239)*9884*COS(2*S239-2*R239) +(1-0.002516*M239)*5751*COS(R239+2*Q239) -(1-0.002516*M239)*(1-0.002516*M239)*4950*COS(2*S239-2*R239-Q239)  +4130*COS(2*S239+Q239-2*T239) -(1-0.002516*M239)*3958*COS(4*S239-R239-Q239) +3258*COS(3*S239-Q239) +(1-0.002516*M239)*2616*COS(2*S239+R239+Q239) -(1-0.002516*M239)*1897*COS(4*S239-R239-2*Q239)  -(1-0.002516*M239)*(1-0.002516*M239)*2117*COS(2*R239-Q239) +(1-0.002516*M239)*(1-0.002516*M239)*2354*COS(2*S239+2*R239-Q239) -1423*COS(4*S239+Q239) -1117*COS(4*Q239) -(1-0.002516*M239)*1571*COS(4*S239-R239)  -1739*COS(S239-2*Q239) -4421*COS(2*Q239-2*T239) +(1-0.002516*M239)*(1-0.002516*M239)*1165*COS(2*R239+Q239) +8752*COS(2*S239-Q239-2*T239))/1000</f>
        <v>368683.949152972</v>
      </c>
      <c r="AY239" s="10" t="n">
        <f aca="false">IF($A$7&gt;29,AY238+1/8,"")</f>
        <v>30.625</v>
      </c>
      <c r="AZ239" s="17" t="n">
        <f aca="false">AZ238+1</f>
        <v>238</v>
      </c>
      <c r="BA239" s="32" t="n">
        <f aca="false">ATAN(0.99664719*TAN($A$4*input!$E$2))</f>
        <v>-0.400219206115995</v>
      </c>
      <c r="BB239" s="32" t="n">
        <f aca="false">COS(BA239)</f>
        <v>0.920975608992155</v>
      </c>
      <c r="BC239" s="32" t="n">
        <f aca="false">0.99664719*SIN(BA239)</f>
        <v>-0.388313912533463</v>
      </c>
      <c r="BD239" s="32" t="n">
        <f aca="false">6378.14/AX239</f>
        <v>0.0172997495948858</v>
      </c>
      <c r="BE239" s="33" t="n">
        <f aca="false">MOD(N239-15*AH239,360)</f>
        <v>336.654700603023</v>
      </c>
      <c r="BF239" s="27" t="n">
        <f aca="false">COS($A$4*AG239)*SIN($A$4*BE239)</f>
        <v>-0.352476849524474</v>
      </c>
      <c r="BG239" s="27" t="n">
        <f aca="false">COS($A$4*AG239)*COS($A$4*BE239)-BB239*BD239</f>
        <v>0.80073152529423</v>
      </c>
      <c r="BH239" s="27" t="n">
        <f aca="false">SIN($A$4*AG239)-BC239*BD239</f>
        <v>-0.450250208046647</v>
      </c>
      <c r="BI239" s="46" t="n">
        <f aca="false">SQRT(BF239^2+BG239^2+BH239^2)</f>
        <v>0.98393910121347</v>
      </c>
      <c r="BJ239" s="35" t="n">
        <f aca="false">AX239*BI239</f>
        <v>362762.553561408</v>
      </c>
    </row>
    <row r="240" customFormat="false" ht="15" hidden="false" customHeight="false" outlineLevel="0" collapsed="false">
      <c r="A240" s="20"/>
      <c r="B240" s="20"/>
      <c r="C240" s="15" t="n">
        <f aca="false">MOD(C239+3,24)</f>
        <v>18</v>
      </c>
      <c r="D240" s="17" t="n">
        <v>30</v>
      </c>
      <c r="E240" s="102" t="n">
        <f aca="false">input!$C$2</f>
        <v>10</v>
      </c>
      <c r="F240" s="102" t="n">
        <f aca="false">input!$D$2</f>
        <v>2022</v>
      </c>
      <c r="H240" s="39" t="n">
        <f aca="false">AM240</f>
        <v>71.3334573821211</v>
      </c>
      <c r="I240" s="48" t="n">
        <f aca="false">H240+1.02/(TAN($A$4*(H240+10.3/(H240+5.11)))*60)</f>
        <v>71.3391559968937</v>
      </c>
      <c r="J240" s="39" t="n">
        <f aca="false">100*(1+COS($A$4*AQ240))/2</f>
        <v>32.942440530954</v>
      </c>
      <c r="K240" s="48" t="n">
        <f aca="false">IF(AI240&gt;180,AT240-180,AT240+180)</f>
        <v>253.193382720274</v>
      </c>
      <c r="L240" s="10" t="n">
        <f aca="false">L239+1/8</f>
        <v>2459883.25</v>
      </c>
      <c r="M240" s="49" t="n">
        <f aca="false">(L240-2451545)/36525</f>
        <v>0.228288843258042</v>
      </c>
      <c r="N240" s="15" t="n">
        <f aca="false">MOD(280.46061837+360.98564736629*(L240-2451545)+0.000387933*M240^2-M240^3/38710000+$G$4,360)</f>
        <v>309.034790555015</v>
      </c>
      <c r="O240" s="18" t="n">
        <f aca="false">0.60643382+1336.85522467*M240 - 0.00000313*M240^2 - INT(0.60643382+1336.85522467*M240 - 0.00000313*M240^2)</f>
        <v>0.795566500262339</v>
      </c>
      <c r="P240" s="15" t="n">
        <f aca="false">22640*SIN(Q240)-4586*SIN(Q240-2*S240)+2370*SIN(2*S240)+769*SIN(2*Q240)-668*SIN(R240)-412*SIN(2*T240)-212*SIN(2*Q240-2*S240)-206*SIN(Q240+R240-2*S240)+192*SIN(Q240+2*S240)-165*SIN(R240-2*S240)-125*SIN(S240)-110*SIN(Q240+R240)+148*SIN(Q240-R240)-55*SIN(2*T240-2*S240)</f>
        <v>2644.63181230267</v>
      </c>
      <c r="Q240" s="18" t="n">
        <f aca="false">2*PI()*(0.374897+1325.55241*M240 - INT(0.374897+1325.55241*M240))</f>
        <v>6.18091614184049</v>
      </c>
      <c r="R240" s="26" t="n">
        <f aca="false">2*PI()*(0.99312619+99.99735956*M240 - 0.00000044*M240^2 - INT(0.99312619+99.99735956*M240- 0.00000044*M240^2))</f>
        <v>5.16105685392206</v>
      </c>
      <c r="S240" s="26" t="n">
        <f aca="false">2*PI()*(0.827361+1236.853086*M240 - INT(0.827361+1236.853086*M240))</f>
        <v>1.17571769650949</v>
      </c>
      <c r="T240" s="26" t="n">
        <f aca="false">2*PI()*(0.259086+1342.227825*M240 - INT(0.259086+1342.227825*M240))</f>
        <v>4.23941314608521</v>
      </c>
      <c r="U240" s="26" t="n">
        <f aca="false">T240+(P240+412*SIN(2*T240)+541*SIN(R240))/206264.8062</f>
        <v>4.2514914602917</v>
      </c>
      <c r="V240" s="26" t="n">
        <f aca="false">T240-2*S240</f>
        <v>1.88797775306622</v>
      </c>
      <c r="W240" s="25" t="n">
        <f aca="false">-526*SIN(V240)+44*SIN(Q240+V240)-31*SIN(-Q240+V240)-23*SIN(R240+V240)+11*SIN(-R240+V240)-25*SIN(-2*Q240+T240)+21*SIN(-Q240+T240)</f>
        <v>-495.056216280179</v>
      </c>
      <c r="X240" s="26" t="n">
        <f aca="false">2*PI()*(O240+P240/1296000-INT(O240+P240/1296000))</f>
        <v>5.01151328217363</v>
      </c>
      <c r="Y240" s="26" t="n">
        <f aca="false">(18520*SIN(U240)+W240)/206264.8062</f>
        <v>-0.082818599860821</v>
      </c>
      <c r="Z240" s="26" t="n">
        <f aca="false">Y240*180/PI()</f>
        <v>-4.74515623720779</v>
      </c>
      <c r="AA240" s="26" t="n">
        <f aca="false">COS(Y240)*COS(X240)</f>
        <v>0.293673479139696</v>
      </c>
      <c r="AB240" s="26" t="n">
        <f aca="false">COS(Y240)*SIN(X240)</f>
        <v>-0.952319607290356</v>
      </c>
      <c r="AC240" s="26" t="n">
        <f aca="false">SIN(Y240)</f>
        <v>-0.0827239579585578</v>
      </c>
      <c r="AD240" s="26" t="n">
        <f aca="false">COS($A$4*(23.4393-46.815*M240/3600))*AB240-SIN($A$4*(23.4393-46.815*M240/3600))*AC240</f>
        <v>-0.840853944796406</v>
      </c>
      <c r="AE240" s="26" t="n">
        <f aca="false">SIN($A$4*(23.4393-46.815*M240/3600))*AB240+COS($A$4*(23.4393-46.815*M240/3600))*AC240</f>
        <v>-0.454665295761959</v>
      </c>
      <c r="AF240" s="26" t="n">
        <f aca="false">SQRT(1-AE240*AE240)</f>
        <v>0.89066237645344</v>
      </c>
      <c r="AG240" s="10" t="n">
        <f aca="false">ATAN(AE240/AF240)/$A$4</f>
        <v>-27.0434008386786</v>
      </c>
      <c r="AH240" s="26" t="n">
        <f aca="false">IF(24*ATAN(AD240/(AA240+AF240))/PI()&gt;0,24*ATAN(AD240/(AA240+AF240))/PI(),24*ATAN(AD240/(AA240+AF240))/PI()+24)</f>
        <v>19.2834715455059</v>
      </c>
      <c r="AI240" s="10" t="n">
        <f aca="false">IF(N240-15*AH240&gt;0,N240-15*AH240,360+N240-15*AH240)</f>
        <v>19.7827173724273</v>
      </c>
      <c r="AJ240" s="18" t="n">
        <f aca="false">0.950724+0.051818*COS(Q240)+0.009531*COS(2*S240-Q240)+0.007843*COS(2*S240)+0.002824*COS(2*Q240)+0.000857*COS(2*S240+Q240)+0.000533*COS(2*S240-R240)+0.000401*COS(2*S240-R240-Q240)+0.00032*COS(Q240-R240)-0.000271*COS(S240)</f>
        <v>0.990811204973271</v>
      </c>
      <c r="AK240" s="50" t="n">
        <f aca="false">ASIN(COS($A$4*$G$2)*COS($A$4*AG240)*COS($A$4*AI240)+SIN($A$4*$G$2)*SIN($A$4*AG240))/$A$4</f>
        <v>71.6452901105546</v>
      </c>
      <c r="AL240" s="18" t="n">
        <f aca="false">ASIN((0.9983271+0.0016764*COS($A$4*2*$G$2))*COS($A$4*AK240)*SIN($A$4*AJ240))/$A$4</f>
        <v>0.311832728433526</v>
      </c>
      <c r="AM240" s="18" t="n">
        <f aca="false">AK240-AL240</f>
        <v>71.3334573821211</v>
      </c>
      <c r="AN240" s="10" t="n">
        <f aca="false"> IF(280.4664567 + 360007.6982779*M240/10 + 0.03032028*M240^2/100 + M240^3/49931000&lt;0,MOD(280.4664567 + 360007.6982779*M240/10 + 0.03032028*M240^2/100 + M240^3/49931000+360,360),MOD(280.4664567 + 360007.6982779*M240/10 + 0.03032028*M240^2/100 + M240^3/49931000,360))</f>
        <v>219.040572887108</v>
      </c>
      <c r="AO240" s="27" t="n">
        <f aca="false"> AN240 + (1.9146 - 0.004817*M240 - 0.000014*M240^2)*SIN(R240)+ (0.019993 - 0.000101*M240)*SIN(2*R240)+ 0.00029*SIN(3*R240)</f>
        <v>217.300915282851</v>
      </c>
      <c r="AP240" s="18" t="n">
        <f aca="false">ACOS(COS(X240-$A$4*AO240)*COS(Y240))/$A$4</f>
        <v>69.909735921027</v>
      </c>
      <c r="AQ240" s="25" t="n">
        <f aca="false">180 - AP240 -0.1468*(1-0.0549*SIN(R240))*SIN($A$4*AP240)/(1-0.0167*SIN($A$4*AO240))</f>
        <v>109.947026268021</v>
      </c>
      <c r="AR240" s="25" t="n">
        <f aca="false">SIN($A$4*AI240)</f>
        <v>0.338454098736084</v>
      </c>
      <c r="AS240" s="25" t="n">
        <f aca="false">COS($A$4*AI240)*SIN($A$4*$G$2) - TAN($A$4*AG240)*COS($A$4*$G$2)</f>
        <v>0.102227970840374</v>
      </c>
      <c r="AT240" s="25" t="n">
        <f aca="false">IF(OR(AND(AR240*AS240&gt;0), AND(AR240&lt;0,AS240&gt;0)), MOD(ATAN2(AS240,AR240)/$A$4+360,360),  ATAN2(AS240,AR240)/$A$4)</f>
        <v>73.193382720274</v>
      </c>
      <c r="AU240" s="29" t="n">
        <f aca="false">(1+SIN($A$4*H240)*SIN($A$4*AJ240))*120*ASIN(0.272481*SIN($A$4*AJ240))/$A$4</f>
        <v>32.9264945881957</v>
      </c>
      <c r="AV240" s="10" t="n">
        <f aca="false">COS(X240)</f>
        <v>0.294683507004339</v>
      </c>
      <c r="AW240" s="10" t="n">
        <f aca="false">SIN(X240)</f>
        <v>-0.955594909310229</v>
      </c>
      <c r="AX240" s="30" t="n">
        <f aca="false"> 385000.56 + (-20905355*COS(Q240) - 3699111*COS(2*S240-Q240) - 2955968*COS(2*S240) - 569925*COS(2*Q240) + (1-0.002516*M240)*48888*COS(R240) - 3149*COS(2*T240)  +246158*COS(2*S240-2*Q240) -(1-0.002516*M240)*152138*COS(2*S240-R240-Q240) -170733*COS(2*S240+Q240) -(1-0.002516*M240)*204586*COS(2*S240-R240) -(1-0.002516*M240)*129620*COS(R240-Q240)  + 108743*COS(S240) +(1-0.002516*M240)*104755*COS(R240+Q240) +10321*COS(2*S240-2*T240) +79661*COS(Q240-2*T240) -34782*COS(4*S240-Q240) -23210*COS(3*Q240)  -21636*COS(4*S240-2*Q240) +(1-0.002516*M240)*24208*COS(2*S240+R240-Q240) +(1-0.002516*M240)*30824*COS(2*S240+R240) -8379*COS(S240-Q240) -(1-0.002516*M240)*16675*COS(S240+R240)  -(1-0.002516*M240)*12831*COS(2*S240-R240+Q240) -10445*COS(2*S240+2*Q240) -11650*COS(4*S240) +14403*COS(2*S240-3*Q240) -(1-0.002516*M240)*7003*COS(R240-2*Q240)  + (1-0.002516*M240)*10056*COS(2*S240-R240-2*Q240) +6322*COS(S240+Q240) -(1-0.002516*M240)*(1-0.002516*M240)*9884*COS(2*S240-2*R240) +(1-0.002516*M240)*5751*COS(R240+2*Q240) -(1-0.002516*M240)*(1-0.002516*M240)*4950*COS(2*S240-2*R240-Q240)  +4130*COS(2*S240+Q240-2*T240) -(1-0.002516*M240)*3958*COS(4*S240-R240-Q240) +3258*COS(3*S240-Q240) +(1-0.002516*M240)*2616*COS(2*S240+R240+Q240) -(1-0.002516*M240)*1897*COS(4*S240-R240-2*Q240)  -(1-0.002516*M240)*(1-0.002516*M240)*2117*COS(2*R240-Q240) +(1-0.002516*M240)*(1-0.002516*M240)*2354*COS(2*S240+2*R240-Q240) -1423*COS(4*S240+Q240) -1117*COS(4*Q240) -(1-0.002516*M240)*1571*COS(4*S240-R240)  -1739*COS(S240-2*Q240) -4421*COS(2*Q240-2*T240) +(1-0.002516*M240)*(1-0.002516*M240)*1165*COS(2*R240+Q240) +8752*COS(2*S240-Q240-2*T240))/1000</f>
        <v>368781.890582946</v>
      </c>
      <c r="AY240" s="10" t="n">
        <f aca="false">IF($A$7&gt;29,AY239+1/8,"")</f>
        <v>30.75</v>
      </c>
      <c r="AZ240" s="17" t="n">
        <f aca="false">AZ239+1</f>
        <v>239</v>
      </c>
      <c r="BA240" s="32" t="n">
        <f aca="false">ATAN(0.99664719*TAN($A$4*input!$E$2))</f>
        <v>-0.400219206115995</v>
      </c>
      <c r="BB240" s="32" t="n">
        <f aca="false">COS(BA240)</f>
        <v>0.920975608992155</v>
      </c>
      <c r="BC240" s="32" t="n">
        <f aca="false">0.99664719*SIN(BA240)</f>
        <v>-0.388313912533463</v>
      </c>
      <c r="BD240" s="32" t="n">
        <f aca="false">6378.14/AX240</f>
        <v>0.0172951551116511</v>
      </c>
      <c r="BE240" s="33" t="n">
        <f aca="false">MOD(N240-15*AH240,360)</f>
        <v>19.7827173724273</v>
      </c>
      <c r="BF240" s="27" t="n">
        <f aca="false">COS($A$4*AG240)*SIN($A$4*BE240)</f>
        <v>0.301448331900688</v>
      </c>
      <c r="BG240" s="27" t="n">
        <f aca="false">COS($A$4*AG240)*COS($A$4*BE240)-BB240*BD240</f>
        <v>0.822169652250127</v>
      </c>
      <c r="BH240" s="27" t="n">
        <f aca="false">SIN($A$4*AG240)-BC240*BD240</f>
        <v>-0.447949346412681</v>
      </c>
      <c r="BI240" s="46" t="n">
        <f aca="false">SQRT(BF240^2+BG240^2+BH240^2)</f>
        <v>0.98361204284939</v>
      </c>
      <c r="BJ240" s="35" t="n">
        <f aca="false">AX240*BI240</f>
        <v>362738.308762152</v>
      </c>
    </row>
    <row r="241" customFormat="false" ht="15" hidden="false" customHeight="false" outlineLevel="0" collapsed="false">
      <c r="C241" s="15" t="n">
        <f aca="false">MOD(C240+3,24)</f>
        <v>21</v>
      </c>
      <c r="D241" s="17" t="n">
        <v>30</v>
      </c>
      <c r="E241" s="102" t="n">
        <f aca="false">input!$C$2</f>
        <v>10</v>
      </c>
      <c r="F241" s="102" t="n">
        <f aca="false">input!$D$2</f>
        <v>2022</v>
      </c>
      <c r="H241" s="39" t="n">
        <f aca="false">AM241</f>
        <v>32.5690933687598</v>
      </c>
      <c r="I241" s="48" t="n">
        <f aca="false">H241+1.02/(TAN($A$4*(H241+10.3/(H241+5.11)))*60)</f>
        <v>32.5954293285682</v>
      </c>
      <c r="J241" s="39" t="n">
        <f aca="false">100*(1+COS($A$4*AQ241))/2</f>
        <v>34.3090112472597</v>
      </c>
      <c r="K241" s="48" t="n">
        <f aca="false">IF(AI241&gt;180,AT241-180,AT241+180)</f>
        <v>252.04902519954</v>
      </c>
      <c r="L241" s="10" t="n">
        <f aca="false">L240+1/8</f>
        <v>2459883.375</v>
      </c>
      <c r="M241" s="49" t="n">
        <f aca="false">(L241-2451545)/36525</f>
        <v>0.228292265571526</v>
      </c>
      <c r="N241" s="15" t="n">
        <f aca="false">MOD(280.46061837+360.98564736629*(L241-2451545)+0.000387933*M241^2-M241^3/38710000+$G$4,360)</f>
        <v>354.157996476162</v>
      </c>
      <c r="O241" s="18" t="n">
        <f aca="false">0.60643382+1336.85522467*M241 - 0.00000313*M241^2 - INT(0.60643382+1336.85522467*M241 - 0.00000313*M241^2)</f>
        <v>0.800141637918898</v>
      </c>
      <c r="P241" s="15" t="n">
        <f aca="false">22640*SIN(Q241)-4586*SIN(Q241-2*S241)+2370*SIN(2*S241)+769*SIN(2*Q241)-668*SIN(R241)-412*SIN(2*T241)-212*SIN(2*Q241-2*S241)-206*SIN(Q241+R241-2*S241)+192*SIN(Q241+2*S241)-165*SIN(R241-2*S241)-125*SIN(S241)-110*SIN(Q241+R241)+148*SIN(Q241-R241)-55*SIN(2*T241-2*S241)</f>
        <v>3142.59448118459</v>
      </c>
      <c r="Q241" s="18" t="n">
        <f aca="false">2*PI()*(0.374897+1325.55241*M241 - INT(0.374897+1325.55241*M241))</f>
        <v>6.20941953481229</v>
      </c>
      <c r="R241" s="26" t="n">
        <f aca="false">2*PI()*(0.99312619+99.99735956*M241 - 0.00000044*M241^2 - INT(0.99312619+99.99735956*M241- 0.00000044*M241^2))</f>
        <v>5.16320710012017</v>
      </c>
      <c r="S241" s="26" t="n">
        <f aca="false">2*PI()*(0.827361+1236.853086*M241 - INT(0.827361+1236.853086*M241))</f>
        <v>1.20231378527442</v>
      </c>
      <c r="T241" s="26" t="n">
        <f aca="false">2*PI()*(0.259086+1342.227825*M241 - INT(0.259086+1342.227825*M241))</f>
        <v>4.26827511100297</v>
      </c>
      <c r="U241" s="26" t="n">
        <f aca="false">T241+(P241+412*SIN(2*T241)+541*SIN(R241))/206264.8062</f>
        <v>4.2826999603615</v>
      </c>
      <c r="V241" s="26" t="n">
        <f aca="false">T241-2*S241</f>
        <v>1.86364754045414</v>
      </c>
      <c r="W241" s="25" t="n">
        <f aca="false">-526*SIN(V241)+44*SIN(Q241+V241)-31*SIN(-Q241+V241)-23*SIN(R241+V241)+11*SIN(-R241+V241)-25*SIN(-2*Q241+T241)+21*SIN(-Q241+T241)</f>
        <v>-499.105160520233</v>
      </c>
      <c r="X241" s="26" t="n">
        <f aca="false">2*PI()*(O241+P241/1296000-INT(O241+P241/1296000))</f>
        <v>5.04267391102121</v>
      </c>
      <c r="Y241" s="26" t="n">
        <f aca="false">(18520*SIN(U241)+W241)/206264.8062</f>
        <v>-0.0840451226476489</v>
      </c>
      <c r="Z241" s="26" t="n">
        <f aca="false">Y241*180/PI()</f>
        <v>-4.81543081636965</v>
      </c>
      <c r="AA241" s="26" t="n">
        <f aca="false">COS(Y241)*COS(X241)</f>
        <v>0.323167841421542</v>
      </c>
      <c r="AB241" s="26" t="n">
        <f aca="false">COS(Y241)*SIN(X241)</f>
        <v>-0.942611043524452</v>
      </c>
      <c r="AC241" s="26" t="n">
        <f aca="false">SIN(Y241)</f>
        <v>-0.0839462143082431</v>
      </c>
      <c r="AD241" s="26" t="n">
        <f aca="false">COS($A$4*(23.4393-46.815*M241/3600))*AB241-SIN($A$4*(23.4393-46.815*M241/3600))*AC241</f>
        <v>-0.831460184834185</v>
      </c>
      <c r="AE241" s="26" t="n">
        <f aca="false">SIN($A$4*(23.4393-46.815*M241/3600))*AB241+COS($A$4*(23.4393-46.815*M241/3600))*AC241</f>
        <v>-0.451925333773671</v>
      </c>
      <c r="AF241" s="26" t="n">
        <f aca="false">SQRT(1-AE241*AE241)</f>
        <v>0.892055767703767</v>
      </c>
      <c r="AG241" s="10" t="n">
        <f aca="false">ATAN(AE241/AF241)/$A$4</f>
        <v>-26.8672786234475</v>
      </c>
      <c r="AH241" s="26" t="n">
        <f aca="false">IF(24*ATAN(AD241/(AA241+AF241))/PI()&gt;0,24*ATAN(AD241/(AA241+AF241))/PI(),24*ATAN(AD241/(AA241+AF241))/PI()+24)</f>
        <v>19.4159908628085</v>
      </c>
      <c r="AI241" s="10" t="n">
        <f aca="false">IF(N241-15*AH241&gt;0,N241-15*AH241,360+N241-15*AH241)</f>
        <v>62.9181335340346</v>
      </c>
      <c r="AJ241" s="18" t="n">
        <f aca="false">0.950724+0.051818*COS(Q241)+0.009531*COS(2*S241-Q241)+0.007843*COS(2*S241)+0.002824*COS(2*Q241)+0.000857*COS(2*S241+Q241)+0.000533*COS(2*S241-R241)+0.000401*COS(2*S241-R241-Q241)+0.00032*COS(Q241-R241)-0.000271*COS(S241)</f>
        <v>0.990493834990916</v>
      </c>
      <c r="AK241" s="50" t="n">
        <f aca="false">ASIN(COS($A$4*$G$2)*COS($A$4*AG241)*COS($A$4*AI241)+SIN($A$4*$G$2)*SIN($A$4*AG241))/$A$4</f>
        <v>33.3956138633852</v>
      </c>
      <c r="AL241" s="18" t="n">
        <f aca="false">ASIN((0.9983271+0.0016764*COS($A$4*2*$G$2))*COS($A$4*AK241)*SIN($A$4*AJ241))/$A$4</f>
        <v>0.826520494625384</v>
      </c>
      <c r="AM241" s="18" t="n">
        <f aca="false">AK241-AL241</f>
        <v>32.5690933687598</v>
      </c>
      <c r="AN241" s="10" t="n">
        <f aca="false"> IF(280.4664567 + 360007.6982779*M241/10 + 0.03032028*M241^2/100 + M241^3/49931000&lt;0,MOD(280.4664567 + 360007.6982779*M241/10 + 0.03032028*M241^2/100 + M241^3/49931000+360,360),MOD(280.4664567 + 360007.6982779*M241/10 + 0.03032028*M241^2/100 + M241^3/49931000,360))</f>
        <v>219.163778807593</v>
      </c>
      <c r="AO241" s="27" t="n">
        <f aca="false"> AN241 + (1.9146 - 0.004817*M241 - 0.000014*M241^2)*SIN(R241)+ (0.019993 - 0.000101*M241)*SIN(2*R241)+ 0.00029*SIN(3*R241)</f>
        <v>217.425854685776</v>
      </c>
      <c r="AP241" s="18" t="n">
        <f aca="false">ACOS(COS(X241-$A$4*AO241)*COS(Y241))/$A$4</f>
        <v>71.5657398387173</v>
      </c>
      <c r="AQ241" s="25" t="n">
        <f aca="false">180 - AP241 -0.1468*(1-0.0549*SIN(R241))*SIN($A$4*AP241)/(1-0.0167*SIN($A$4*AO241))</f>
        <v>108.289579392762</v>
      </c>
      <c r="AR241" s="25" t="n">
        <f aca="false">SIN($A$4*AI241)</f>
        <v>0.890356935374521</v>
      </c>
      <c r="AS241" s="25" t="n">
        <f aca="false">COS($A$4*AI241)*SIN($A$4*$G$2) - TAN($A$4*AG241)*COS($A$4*$G$2)</f>
        <v>0.288452474886439</v>
      </c>
      <c r="AT241" s="25" t="n">
        <f aca="false">IF(OR(AND(AR241*AS241&gt;0), AND(AR241&lt;0,AS241&gt;0)), MOD(ATAN2(AS241,AR241)/$A$4+360,360),  ATAN2(AS241,AR241)/$A$4)</f>
        <v>72.0490251995402</v>
      </c>
      <c r="AU241" s="29" t="n">
        <f aca="false">(1+SIN($A$4*H241)*SIN($A$4*AJ241))*120*ASIN(0.272481*SIN($A$4*AJ241))/$A$4</f>
        <v>32.6867626897638</v>
      </c>
      <c r="AV241" s="10" t="n">
        <f aca="false">COS(X241)</f>
        <v>0.324312571684541</v>
      </c>
      <c r="AW241" s="10" t="n">
        <f aca="false">SIN(X241)</f>
        <v>-0.945949975340853</v>
      </c>
      <c r="AX241" s="30" t="n">
        <f aca="false"> 385000.56 + (-20905355*COS(Q241) - 3699111*COS(2*S241-Q241) - 2955968*COS(2*S241) - 569925*COS(2*Q241) + (1-0.002516*M241)*48888*COS(R241) - 3149*COS(2*T241)  +246158*COS(2*S241-2*Q241) -(1-0.002516*M241)*152138*COS(2*S241-R241-Q241) -170733*COS(2*S241+Q241) -(1-0.002516*M241)*204586*COS(2*S241-R241) -(1-0.002516*M241)*129620*COS(R241-Q241)  + 108743*COS(S241) +(1-0.002516*M241)*104755*COS(R241+Q241) +10321*COS(2*S241-2*T241) +79661*COS(Q241-2*T241) -34782*COS(4*S241-Q241) -23210*COS(3*Q241)  -21636*COS(4*S241-2*Q241) +(1-0.002516*M241)*24208*COS(2*S241+R241-Q241) +(1-0.002516*M241)*30824*COS(2*S241+R241) -8379*COS(S241-Q241) -(1-0.002516*M241)*16675*COS(S241+R241)  -(1-0.002516*M241)*12831*COS(2*S241-R241+Q241) -10445*COS(2*S241+2*Q241) -11650*COS(4*S241) +14403*COS(2*S241-3*Q241) -(1-0.002516*M241)*7003*COS(R241-2*Q241)  + (1-0.002516*M241)*10056*COS(2*S241-R241-2*Q241) +6322*COS(S241+Q241) -(1-0.002516*M241)*(1-0.002516*M241)*9884*COS(2*S241-2*R241) +(1-0.002516*M241)*5751*COS(R241+2*Q241) -(1-0.002516*M241)*(1-0.002516*M241)*4950*COS(2*S241-2*R241-Q241)  +4130*COS(2*S241+Q241-2*T241) -(1-0.002516*M241)*3958*COS(4*S241-R241-Q241) +3258*COS(3*S241-Q241) +(1-0.002516*M241)*2616*COS(2*S241+R241+Q241) -(1-0.002516*M241)*1897*COS(4*S241-R241-2*Q241)  -(1-0.002516*M241)*(1-0.002516*M241)*2117*COS(2*R241-Q241) +(1-0.002516*M241)*(1-0.002516*M241)*2354*COS(2*S241+2*R241-Q241) -1423*COS(4*S241+Q241) -1117*COS(4*Q241) -(1-0.002516*M241)*1571*COS(4*S241-R241)  -1739*COS(S241-2*Q241) -4421*COS(2*Q241-2*T241) +(1-0.002516*M241)*(1-0.002516*M241)*1165*COS(2*R241+Q241) +8752*COS(2*S241-Q241-2*T241))/1000</f>
        <v>368889.718463069</v>
      </c>
      <c r="AY241" s="10" t="n">
        <f aca="false">IF($A$7&gt;29,AY240+1/8,"")</f>
        <v>30.875</v>
      </c>
      <c r="AZ241" s="17" t="n">
        <f aca="false">AZ240+1</f>
        <v>240</v>
      </c>
      <c r="BA241" s="32" t="n">
        <f aca="false">ATAN(0.99664719*TAN($A$4*input!$E$2))</f>
        <v>-0.400219206115995</v>
      </c>
      <c r="BB241" s="32" t="n">
        <f aca="false">COS(BA241)</f>
        <v>0.920975608992155</v>
      </c>
      <c r="BC241" s="32" t="n">
        <f aca="false">0.99664719*SIN(BA241)</f>
        <v>-0.388313912533463</v>
      </c>
      <c r="BD241" s="32" t="n">
        <f aca="false">6378.14/AX241</f>
        <v>0.0172900996714511</v>
      </c>
      <c r="BE241" s="33" t="n">
        <f aca="false">MOD(N241-15*AH241,360)</f>
        <v>62.9181335340346</v>
      </c>
      <c r="BF241" s="27" t="n">
        <f aca="false">COS($A$4*AG241)*SIN($A$4*BE241)</f>
        <v>0.794248039515892</v>
      </c>
      <c r="BG241" s="27" t="n">
        <f aca="false">COS($A$4*AG241)*COS($A$4*BE241)-BB241*BD241</f>
        <v>0.39019635075327</v>
      </c>
      <c r="BH241" s="27" t="n">
        <f aca="false">SIN($A$4*AG241)-BC241*BD241</f>
        <v>-0.445211347522156</v>
      </c>
      <c r="BI241" s="46" t="n">
        <f aca="false">SQRT(BF241^2+BG241^2+BH241^2)</f>
        <v>0.990603999779175</v>
      </c>
      <c r="BJ241" s="35" t="n">
        <f aca="false">AX241*BI241</f>
        <v>365423.63058693</v>
      </c>
      <c r="BK241" s="0"/>
    </row>
    <row r="242" customFormat="false" ht="15" hidden="false" customHeight="false" outlineLevel="0" collapsed="false">
      <c r="C242" s="15" t="n">
        <f aca="false">MOD(C241+3,24)</f>
        <v>0</v>
      </c>
      <c r="D242" s="36" t="n">
        <v>31</v>
      </c>
      <c r="E242" s="102" t="n">
        <f aca="false">input!$C$2</f>
        <v>10</v>
      </c>
      <c r="F242" s="102" t="n">
        <f aca="false">input!$D$2</f>
        <v>2022</v>
      </c>
      <c r="H242" s="39" t="n">
        <f aca="false">AM242</f>
        <v>-3.98374102739426</v>
      </c>
      <c r="I242" s="48" t="n">
        <f aca="false">H242+1.02/(TAN($A$4*(H242+10.3/(H242+5.11)))*60)</f>
        <v>-3.79554441618407</v>
      </c>
      <c r="J242" s="39" t="n">
        <f aca="false">100*(1+COS($A$4*AQ242))/2</f>
        <v>35.6873253482729</v>
      </c>
      <c r="K242" s="48" t="n">
        <f aca="false">IF(AI242&gt;180,AT242-180,AT242+180)</f>
        <v>239.310506720079</v>
      </c>
      <c r="L242" s="10" t="n">
        <f aca="false">L241+1/8</f>
        <v>2459883.5</v>
      </c>
      <c r="M242" s="49" t="n">
        <f aca="false">(L242-2451545)/36525</f>
        <v>0.22829568788501</v>
      </c>
      <c r="N242" s="15" t="n">
        <f aca="false">MOD(280.46061837+360.98564736629*(L242-2451545)+0.000387933*M242^2-M242^3/38710000+$G$4,360)</f>
        <v>39.2812023973092</v>
      </c>
      <c r="O242" s="18" t="n">
        <f aca="false">0.60643382+1336.85522467*M242 - 0.00000313*M242^2 - INT(0.60643382+1336.85522467*M242 - 0.00000313*M242^2)</f>
        <v>0.8047167755754</v>
      </c>
      <c r="P242" s="15" t="n">
        <f aca="false">22640*SIN(Q242)-4586*SIN(Q242-2*S242)+2370*SIN(2*S242)+769*SIN(2*Q242)-668*SIN(R242)-412*SIN(2*T242)-212*SIN(2*Q242-2*S242)-206*SIN(Q242+R242-2*S242)+192*SIN(Q242+2*S242)-165*SIN(R242-2*S242)-125*SIN(S242)-110*SIN(Q242+R242)+148*SIN(Q242-R242)-55*SIN(2*T242-2*S242)</f>
        <v>3636.28983100573</v>
      </c>
      <c r="Q242" s="18" t="n">
        <f aca="false">2*PI()*(0.374897+1325.55241*M242 - INT(0.374897+1325.55241*M242))</f>
        <v>6.23792292778409</v>
      </c>
      <c r="R242" s="26" t="n">
        <f aca="false">2*PI()*(0.99312619+99.99735956*M242 - 0.00000044*M242^2 - INT(0.99312619+99.99735956*M242- 0.00000044*M242^2))</f>
        <v>5.16535734631825</v>
      </c>
      <c r="S242" s="26" t="n">
        <f aca="false">2*PI()*(0.827361+1236.853086*M242 - INT(0.827361+1236.853086*M242))</f>
        <v>1.22890987403898</v>
      </c>
      <c r="T242" s="26" t="n">
        <f aca="false">2*PI()*(0.259086+1342.227825*M242 - INT(0.259086+1342.227825*M242))</f>
        <v>4.29713707592037</v>
      </c>
      <c r="U242" s="26" t="n">
        <f aca="false">T242+(P242+412*SIN(2*T242)+541*SIN(R242))/206264.8062</f>
        <v>4.31388261982687</v>
      </c>
      <c r="V242" s="26" t="n">
        <f aca="false">T242-2*S242</f>
        <v>1.83931732784241</v>
      </c>
      <c r="W242" s="25" t="n">
        <f aca="false">-526*SIN(V242)+44*SIN(Q242+V242)-31*SIN(-Q242+V242)-23*SIN(R242+V242)+11*SIN(-R242+V242)-25*SIN(-2*Q242+T242)+21*SIN(-Q242+T242)</f>
        <v>-502.788478259174</v>
      </c>
      <c r="X242" s="26" t="n">
        <f aca="false">2*PI()*(O242+P242/1296000-INT(O242+P242/1296000))</f>
        <v>5.0738138513218</v>
      </c>
      <c r="Y242" s="26" t="n">
        <f aca="false">(18520*SIN(U242)+W242)/206264.8062</f>
        <v>-0.0851894782635881</v>
      </c>
      <c r="Z242" s="26" t="n">
        <f aca="false">Y242*180/PI()</f>
        <v>-4.88099756342506</v>
      </c>
      <c r="AA242" s="26" t="n">
        <f aca="false">COS(Y242)*COS(X242)</f>
        <v>0.352325075018025</v>
      </c>
      <c r="AB242" s="26" t="n">
        <f aca="false">COS(Y242)*SIN(X242)</f>
        <v>-0.932001788199402</v>
      </c>
      <c r="AC242" s="26" t="n">
        <f aca="false">SIN(Y242)</f>
        <v>-0.0850864754626693</v>
      </c>
      <c r="AD242" s="26" t="n">
        <f aca="false">COS($A$4*(23.4393-46.815*M242/3600))*AB242-SIN($A$4*(23.4393-46.815*M242/3600))*AC242</f>
        <v>-0.821272649940519</v>
      </c>
      <c r="AE242" s="26" t="n">
        <f aca="false">SIN($A$4*(23.4393-46.815*M242/3600))*AB242+COS($A$4*(23.4393-46.815*M242/3600))*AC242</f>
        <v>-0.448751909158302</v>
      </c>
      <c r="AF242" s="26" t="n">
        <f aca="false">SQRT(1-AE242*AE242)</f>
        <v>0.893656379167507</v>
      </c>
      <c r="AG242" s="10" t="n">
        <f aca="false">ATAN(AE242/AF242)/$A$4</f>
        <v>-26.6636358964009</v>
      </c>
      <c r="AH242" s="26" t="n">
        <f aca="false">IF(24*ATAN(AD242/(AA242+AF242))/PI()&gt;0,24*ATAN(AD242/(AA242+AF242))/PI(),24*ATAN(AD242/(AA242+AF242))/PI()+24)</f>
        <v>19.5479519847897</v>
      </c>
      <c r="AI242" s="10" t="n">
        <f aca="false">IF(N242-15*AH242&gt;0,N242-15*AH242,360+N242-15*AH242)</f>
        <v>106.061922625464</v>
      </c>
      <c r="AJ242" s="18" t="n">
        <f aca="false">0.950724+0.051818*COS(Q242)+0.009531*COS(2*S242-Q242)+0.007843*COS(2*S242)+0.002824*COS(2*Q242)+0.000857*COS(2*S242+Q242)+0.000533*COS(2*S242-R242)+0.000401*COS(2*S242-R242-Q242)+0.00032*COS(Q242-R242)-0.000271*COS(S242)</f>
        <v>0.99015178140481</v>
      </c>
      <c r="AK242" s="50" t="n">
        <f aca="false">ASIN(COS($A$4*$G$2)*COS($A$4*AG242)*COS($A$4*AI242)+SIN($A$4*$G$2)*SIN($A$4*AG242))/$A$4</f>
        <v>-2.99544496255081</v>
      </c>
      <c r="AL242" s="18" t="n">
        <f aca="false">ASIN((0.9983271+0.0016764*COS($A$4*2*$G$2))*COS($A$4*AK242)*SIN($A$4*AJ242))/$A$4</f>
        <v>0.988296064843453</v>
      </c>
      <c r="AM242" s="18" t="n">
        <f aca="false">AK242-AL242</f>
        <v>-3.98374102739426</v>
      </c>
      <c r="AN242" s="10" t="n">
        <f aca="false"> IF(280.4664567 + 360007.6982779*M242/10 + 0.03032028*M242^2/100 + M242^3/49931000&lt;0,MOD(280.4664567 + 360007.6982779*M242/10 + 0.03032028*M242^2/100 + M242^3/49931000+360,360),MOD(280.4664567 + 360007.6982779*M242/10 + 0.03032028*M242^2/100 + M242^3/49931000,360))</f>
        <v>219.286984728082</v>
      </c>
      <c r="AO242" s="27" t="n">
        <f aca="false"> AN242 + (1.9146 - 0.004817*M242 - 0.000014*M242^2)*SIN(R242)+ (0.019993 - 0.000101*M242)*SIN(2*R242)+ 0.00029*SIN(3*R242)</f>
        <v>217.550802339003</v>
      </c>
      <c r="AP242" s="18" t="n">
        <f aca="false">ACOS(COS(X242-$A$4*AO242)*COS(Y242))/$A$4</f>
        <v>73.2202080862038</v>
      </c>
      <c r="AQ242" s="25" t="n">
        <f aca="false">180 - AP242 -0.1468*(1-0.0549*SIN(R242))*SIN($A$4*AP242)/(1-0.0167*SIN($A$4*AO242))</f>
        <v>106.633790461396</v>
      </c>
      <c r="AR242" s="25" t="n">
        <f aca="false">SIN($A$4*AI242)</f>
        <v>0.960963238514804</v>
      </c>
      <c r="AS242" s="25" t="n">
        <f aca="false">COS($A$4*AI242)*SIN($A$4*$G$2) - TAN($A$4*AG242)*COS($A$4*$G$2)</f>
        <v>0.570339899029268</v>
      </c>
      <c r="AT242" s="25" t="n">
        <f aca="false">IF(OR(AND(AR242*AS242&gt;0), AND(AR242&lt;0,AS242&gt;0)), MOD(ATAN2(AS242,AR242)/$A$4+360,360),  ATAN2(AS242,AR242)/$A$4)</f>
        <v>59.3105067200788</v>
      </c>
      <c r="AU242" s="29" t="n">
        <f aca="false">(1+SIN($A$4*H242)*SIN($A$4*AJ242))*120*ASIN(0.272481*SIN($A$4*AJ242))/$A$4</f>
        <v>32.3353473913605</v>
      </c>
      <c r="AV242" s="10" t="n">
        <f aca="false">COS(X242)</f>
        <v>0.35360740740446</v>
      </c>
      <c r="AW242" s="10" t="n">
        <f aca="false">SIN(X242)</f>
        <v>-0.935393928475429</v>
      </c>
      <c r="AX242" s="30" t="n">
        <f aca="false"> 385000.56 + (-20905355*COS(Q242) - 3699111*COS(2*S242-Q242) - 2955968*COS(2*S242) - 569925*COS(2*Q242) + (1-0.002516*M242)*48888*COS(R242) - 3149*COS(2*T242)  +246158*COS(2*S242-2*Q242) -(1-0.002516*M242)*152138*COS(2*S242-R242-Q242) -170733*COS(2*S242+Q242) -(1-0.002516*M242)*204586*COS(2*S242-R242) -(1-0.002516*M242)*129620*COS(R242-Q242)  + 108743*COS(S242) +(1-0.002516*M242)*104755*COS(R242+Q242) +10321*COS(2*S242-2*T242) +79661*COS(Q242-2*T242) -34782*COS(4*S242-Q242) -23210*COS(3*Q242)  -21636*COS(4*S242-2*Q242) +(1-0.002516*M242)*24208*COS(2*S242+R242-Q242) +(1-0.002516*M242)*30824*COS(2*S242+R242) -8379*COS(S242-Q242) -(1-0.002516*M242)*16675*COS(S242+R242)  -(1-0.002516*M242)*12831*COS(2*S242-R242+Q242) -10445*COS(2*S242+2*Q242) -11650*COS(4*S242) +14403*COS(2*S242-3*Q242) -(1-0.002516*M242)*7003*COS(R242-2*Q242)  + (1-0.002516*M242)*10056*COS(2*S242-R242-2*Q242) +6322*COS(S242+Q242) -(1-0.002516*M242)*(1-0.002516*M242)*9884*COS(2*S242-2*R242) +(1-0.002516*M242)*5751*COS(R242+2*Q242) -(1-0.002516*M242)*(1-0.002516*M242)*4950*COS(2*S242-2*R242-Q242)  +4130*COS(2*S242+Q242-2*T242) -(1-0.002516*M242)*3958*COS(4*S242-R242-Q242) +3258*COS(3*S242-Q242) +(1-0.002516*M242)*2616*COS(2*S242+R242+Q242) -(1-0.002516*M242)*1897*COS(4*S242-R242-2*Q242)  -(1-0.002516*M242)*(1-0.002516*M242)*2117*COS(2*R242-Q242) +(1-0.002516*M242)*(1-0.002516*M242)*2354*COS(2*S242+2*R242-Q242) -1423*COS(4*S242+Q242) -1117*COS(4*Q242) -(1-0.002516*M242)*1571*COS(4*S242-R242)  -1739*COS(S242-2*Q242) -4421*COS(2*Q242-2*T242) +(1-0.002516*M242)*(1-0.002516*M242)*1165*COS(2*R242+Q242) +8752*COS(2*S242-Q242-2*T242))/1000</f>
        <v>369007.128527123</v>
      </c>
      <c r="AY242" s="10" t="n">
        <f aca="false">IF($A$7&gt;29,AY241+1/8,"")</f>
        <v>31</v>
      </c>
      <c r="AZ242" s="17" t="n">
        <f aca="false">AZ241+1</f>
        <v>241</v>
      </c>
      <c r="BA242" s="32" t="n">
        <f aca="false">ATAN(0.99664719*TAN($A$4*input!$E$2))</f>
        <v>-0.400219206115995</v>
      </c>
      <c r="BB242" s="32" t="n">
        <f aca="false">COS(BA242)</f>
        <v>0.920975608992155</v>
      </c>
      <c r="BC242" s="32" t="n">
        <f aca="false">0.99664719*SIN(BA242)</f>
        <v>-0.388313912533463</v>
      </c>
      <c r="BD242" s="32" t="n">
        <f aca="false">6378.14/AX242</f>
        <v>0.0172845983367804</v>
      </c>
      <c r="BE242" s="33" t="n">
        <f aca="false">MOD(N242-15*AH242,360)</f>
        <v>106.061922625464</v>
      </c>
      <c r="BF242" s="27" t="n">
        <f aca="false">COS($A$4*AG242)*SIN($A$4*BE242)</f>
        <v>0.858770928244221</v>
      </c>
      <c r="BG242" s="27" t="n">
        <f aca="false">COS($A$4*AG242)*COS($A$4*BE242)-BB242*BD242</f>
        <v>-0.263172038915491</v>
      </c>
      <c r="BH242" s="27" t="n">
        <f aca="false">SIN($A$4*AG242)-BC242*BD242</f>
        <v>-0.442040059151577</v>
      </c>
      <c r="BI242" s="46" t="n">
        <f aca="false">SQRT(BF242^2+BG242^2+BH242^2)</f>
        <v>1.00107264629452</v>
      </c>
      <c r="BJ242" s="35" t="n">
        <f aca="false">AX242*BI242</f>
        <v>369402.942656188</v>
      </c>
      <c r="BK242" s="0"/>
    </row>
    <row r="243" customFormat="false" ht="15" hidden="false" customHeight="false" outlineLevel="0" collapsed="false">
      <c r="C243" s="15" t="n">
        <f aca="false">MOD(C242+3,24)</f>
        <v>3</v>
      </c>
      <c r="D243" s="105" t="n">
        <v>31</v>
      </c>
      <c r="E243" s="102" t="n">
        <f aca="false">input!$C$2</f>
        <v>10</v>
      </c>
      <c r="F243" s="102" t="n">
        <f aca="false">input!$D$2</f>
        <v>2022</v>
      </c>
      <c r="H243" s="39" t="n">
        <f aca="false">AM243</f>
        <v>-33.1255107270367</v>
      </c>
      <c r="I243" s="48" t="n">
        <f aca="false">H243+1.02/(TAN($A$4*(H243+10.3/(H243+5.11)))*60)</f>
        <v>-33.1512015844126</v>
      </c>
      <c r="J243" s="39" t="n">
        <f aca="false">100*(1+COS($A$4*AQ243))/2</f>
        <v>37.0761420871932</v>
      </c>
      <c r="K243" s="48" t="n">
        <f aca="false">IF(AI243&gt;180,AT243-180,AT243+180)</f>
        <v>212.829910391139</v>
      </c>
      <c r="L243" s="10" t="n">
        <f aca="false">L242+1/8</f>
        <v>2459883.625</v>
      </c>
      <c r="M243" s="49" t="n">
        <f aca="false">(L243-2451545)/36525</f>
        <v>0.228299110198494</v>
      </c>
      <c r="N243" s="15" t="n">
        <f aca="false">MOD(280.46061837+360.98564736629*(L243-2451545)+0.000387933*M243^2-M243^3/38710000+$G$4,360)</f>
        <v>84.4044083189219</v>
      </c>
      <c r="O243" s="18" t="n">
        <f aca="false">0.60643382+1336.85522467*M243 - 0.00000313*M243^2 - INT(0.60643382+1336.85522467*M243 - 0.00000313*M243^2)</f>
        <v>0.809291913231959</v>
      </c>
      <c r="P243" s="15" t="n">
        <f aca="false">22640*SIN(Q243)-4586*SIN(Q243-2*S243)+2370*SIN(2*S243)+769*SIN(2*Q243)-668*SIN(R243)-412*SIN(2*T243)-212*SIN(2*Q243-2*S243)-206*SIN(Q243+R243-2*S243)+192*SIN(Q243+2*S243)-165*SIN(R243-2*S243)-125*SIN(S243)-110*SIN(Q243+R243)+148*SIN(Q243-R243)-55*SIN(2*T243-2*S243)</f>
        <v>4125.42470060682</v>
      </c>
      <c r="Q243" s="18" t="n">
        <f aca="false">2*PI()*(0.374897+1325.55241*M243 - INT(0.374897+1325.55241*M243))</f>
        <v>6.26642632075625</v>
      </c>
      <c r="R243" s="26" t="n">
        <f aca="false">2*PI()*(0.99312619+99.99735956*M243 - 0.00000044*M243^2 - INT(0.99312619+99.99735956*M243- 0.00000044*M243^2))</f>
        <v>5.16750759251635</v>
      </c>
      <c r="S243" s="26" t="n">
        <f aca="false">2*PI()*(0.827361+1236.853086*M243 - INT(0.827361+1236.853086*M243))</f>
        <v>1.25550596280426</v>
      </c>
      <c r="T243" s="26" t="n">
        <f aca="false">2*PI()*(0.259086+1342.227825*M243 - INT(0.259086+1342.227825*M243))</f>
        <v>4.32599904083813</v>
      </c>
      <c r="U243" s="26" t="n">
        <f aca="false">T243+(P243+412*SIN(2*T243)+541*SIN(R243))/206264.8062</f>
        <v>4.34503826812819</v>
      </c>
      <c r="V243" s="26" t="n">
        <f aca="false">T243-2*S243</f>
        <v>1.81498711522961</v>
      </c>
      <c r="W243" s="25" t="n">
        <f aca="false">-526*SIN(V243)+44*SIN(Q243+V243)-31*SIN(-Q243+V243)-23*SIN(R243+V243)+11*SIN(-R243+V243)-25*SIN(-2*Q243+T243)+21*SIN(-Q243+T243)</f>
        <v>-506.102762839037</v>
      </c>
      <c r="X243" s="26" t="n">
        <f aca="false">2*PI()*(O243+P243/1296000-INT(O243+P243/1296000))</f>
        <v>5.10493168179072</v>
      </c>
      <c r="Y243" s="26" t="n">
        <f aca="false">(18520*SIN(U243)+W243)/206264.8062</f>
        <v>-0.0862507158030371</v>
      </c>
      <c r="Z243" s="26" t="n">
        <f aca="false">Y243*180/PI()</f>
        <v>-4.94180199549634</v>
      </c>
      <c r="AA243" s="26" t="n">
        <f aca="false">COS(Y243)*COS(X243)</f>
        <v>0.381116943810441</v>
      </c>
      <c r="AB243" s="26" t="n">
        <f aca="false">COS(Y243)*SIN(X243)</f>
        <v>-0.920504816955812</v>
      </c>
      <c r="AC243" s="26" t="n">
        <f aca="false">SIN(Y243)</f>
        <v>-0.0861438163871056</v>
      </c>
      <c r="AD243" s="26" t="n">
        <f aca="false">COS($A$4*(23.4393-46.815*M243/3600))*AB243-SIN($A$4*(23.4393-46.815*M243/3600))*AC243</f>
        <v>-0.810303613212361</v>
      </c>
      <c r="AE243" s="26" t="n">
        <f aca="false">SIN($A$4*(23.4393-46.815*M243/3600))*AB243+COS($A$4*(23.4393-46.815*M243/3600))*AC243</f>
        <v>-0.445149333994314</v>
      </c>
      <c r="AF243" s="26" t="n">
        <f aca="false">SQRT(1-AE243*AE243)</f>
        <v>0.895456347592902</v>
      </c>
      <c r="AG243" s="10" t="n">
        <f aca="false">ATAN(AE243/AF243)/$A$4</f>
        <v>-26.432893506373</v>
      </c>
      <c r="AH243" s="26" t="n">
        <f aca="false">IF(24*ATAN(AD243/(AA243+AF243))/PI()&gt;0,24*ATAN(AD243/(AA243+AF243))/PI(),24*ATAN(AD243/(AA243+AF243))/PI()+24)</f>
        <v>19.6792937016243</v>
      </c>
      <c r="AI243" s="10" t="n">
        <f aca="false">IF(N243-15*AH243&gt;0,N243-15*AH243,360+N243-15*AH243)</f>
        <v>149.215002794558</v>
      </c>
      <c r="AJ243" s="18" t="n">
        <f aca="false">0.950724+0.051818*COS(Q243)+0.009531*COS(2*S243-Q243)+0.007843*COS(2*S243)+0.002824*COS(2*Q243)+0.000857*COS(2*S243+Q243)+0.000533*COS(2*S243-R243)+0.000401*COS(2*S243-R243-Q243)+0.00032*COS(Q243-R243)-0.000271*COS(S243)</f>
        <v>0.989786062204837</v>
      </c>
      <c r="AK243" s="50" t="n">
        <f aca="false">ASIN(COS($A$4*$G$2)*COS($A$4*AG243)*COS($A$4*AI243)+SIN($A$4*$G$2)*SIN($A$4*AG243))/$A$4</f>
        <v>-32.2892201242598</v>
      </c>
      <c r="AL243" s="18" t="n">
        <f aca="false">ASIN((0.9983271+0.0016764*COS($A$4*2*$G$2))*COS($A$4*AK243)*SIN($A$4*AJ243))/$A$4</f>
        <v>0.83629060277697</v>
      </c>
      <c r="AM243" s="18" t="n">
        <f aca="false">AK243-AL243</f>
        <v>-33.1255107270367</v>
      </c>
      <c r="AN243" s="10" t="n">
        <f aca="false"> IF(280.4664567 + 360007.6982779*M243/10 + 0.03032028*M243^2/100 + M243^3/49931000&lt;0,MOD(280.4664567 + 360007.6982779*M243/10 + 0.03032028*M243^2/100 + M243^3/49931000+360,360),MOD(280.4664567 + 360007.6982779*M243/10 + 0.03032028*M243^2/100 + M243^3/49931000,360))</f>
        <v>219.410190648568</v>
      </c>
      <c r="AO243" s="27" t="n">
        <f aca="false"> AN243 + (1.9146 - 0.004817*M243 - 0.000014*M243^2)*SIN(R243)+ (0.019993 - 0.000101*M243)*SIN(2*R243)+ 0.00029*SIN(3*R243)</f>
        <v>217.675758235279</v>
      </c>
      <c r="AP243" s="18" t="n">
        <f aca="false">ACOS(COS(X243-$A$4*AO243)*COS(Y243))/$A$4</f>
        <v>74.8730796508132</v>
      </c>
      <c r="AQ243" s="25" t="n">
        <f aca="false">180 - AP243 -0.1468*(1-0.0549*SIN(R243))*SIN($A$4*AP243)/(1-0.0167*SIN($A$4*AO243))</f>
        <v>104.979721274203</v>
      </c>
      <c r="AR243" s="25" t="n">
        <f aca="false">SIN($A$4*AI243)</f>
        <v>0.511817930248896</v>
      </c>
      <c r="AS243" s="25" t="n">
        <f aca="false">COS($A$4*AI243)*SIN($A$4*$G$2) - TAN($A$4*AG243)*COS($A$4*$G$2)</f>
        <v>0.793276195905123</v>
      </c>
      <c r="AT243" s="25" t="n">
        <f aca="false">IF(OR(AND(AR243*AS243&gt;0), AND(AR243&lt;0,AS243&gt;0)), MOD(ATAN2(AS243,AR243)/$A$4+360,360),  ATAN2(AS243,AR243)/$A$4)</f>
        <v>32.8299103911394</v>
      </c>
      <c r="AU243" s="29" t="n">
        <f aca="false">(1+SIN($A$4*H243)*SIN($A$4*AJ243))*120*ASIN(0.272481*SIN($A$4*AJ243))/$A$4</f>
        <v>32.0567609228989</v>
      </c>
      <c r="AV243" s="10" t="n">
        <f aca="false">COS(X243)</f>
        <v>0.382538951134746</v>
      </c>
      <c r="AW243" s="10" t="n">
        <f aca="false">SIN(X243)</f>
        <v>-0.923939365361563</v>
      </c>
      <c r="AX243" s="30" t="n">
        <f aca="false"> 385000.56 + (-20905355*COS(Q243) - 3699111*COS(2*S243-Q243) - 2955968*COS(2*S243) - 569925*COS(2*Q243) + (1-0.002516*M243)*48888*COS(R243) - 3149*COS(2*T243)  +246158*COS(2*S243-2*Q243) -(1-0.002516*M243)*152138*COS(2*S243-R243-Q243) -170733*COS(2*S243+Q243) -(1-0.002516*M243)*204586*COS(2*S243-R243) -(1-0.002516*M243)*129620*COS(R243-Q243)  + 108743*COS(S243) +(1-0.002516*M243)*104755*COS(R243+Q243) +10321*COS(2*S243-2*T243) +79661*COS(Q243-2*T243) -34782*COS(4*S243-Q243) -23210*COS(3*Q243)  -21636*COS(4*S243-2*Q243) +(1-0.002516*M243)*24208*COS(2*S243+R243-Q243) +(1-0.002516*M243)*30824*COS(2*S243+R243) -8379*COS(S243-Q243) -(1-0.002516*M243)*16675*COS(S243+R243)  -(1-0.002516*M243)*12831*COS(2*S243-R243+Q243) -10445*COS(2*S243+2*Q243) -11650*COS(4*S243) +14403*COS(2*S243-3*Q243) -(1-0.002516*M243)*7003*COS(R243-2*Q243)  + (1-0.002516*M243)*10056*COS(2*S243-R243-2*Q243) +6322*COS(S243+Q243) -(1-0.002516*M243)*(1-0.002516*M243)*9884*COS(2*S243-2*R243) +(1-0.002516*M243)*5751*COS(R243+2*Q243) -(1-0.002516*M243)*(1-0.002516*M243)*4950*COS(2*S243-2*R243-Q243)  +4130*COS(2*S243+Q243-2*T243) -(1-0.002516*M243)*3958*COS(4*S243-R243-Q243) +3258*COS(3*S243-Q243) +(1-0.002516*M243)*2616*COS(2*S243+R243+Q243) -(1-0.002516*M243)*1897*COS(4*S243-R243-2*Q243)  -(1-0.002516*M243)*(1-0.002516*M243)*2117*COS(2*R243-Q243) +(1-0.002516*M243)*(1-0.002516*M243)*2354*COS(2*S243+2*R243-Q243) -1423*COS(4*S243+Q243) -1117*COS(4*Q243) -(1-0.002516*M243)*1571*COS(4*S243-R243)  -1739*COS(S243-2*Q243) -4421*COS(2*Q243-2*T243) +(1-0.002516*M243)*(1-0.002516*M243)*1165*COS(2*R243+Q243) +8752*COS(2*S243-Q243-2*T243))/1000</f>
        <v>369133.821431748</v>
      </c>
      <c r="AY243" s="10" t="n">
        <f aca="false">IF($A$7&gt;30,AY242+1/8,"")</f>
        <v>31.125</v>
      </c>
      <c r="AZ243" s="17" t="n">
        <f aca="false">AZ242+1</f>
        <v>242</v>
      </c>
      <c r="BA243" s="32" t="n">
        <f aca="false">ATAN(0.99664719*TAN($A$4*input!$E$2))</f>
        <v>-0.400219206115995</v>
      </c>
      <c r="BB243" s="32" t="n">
        <f aca="false">COS(BA243)</f>
        <v>0.920975608992155</v>
      </c>
      <c r="BC243" s="32" t="n">
        <f aca="false">0.99664719*SIN(BA243)</f>
        <v>-0.388313912533463</v>
      </c>
      <c r="BD243" s="32" t="n">
        <f aca="false">6378.14/AX243</f>
        <v>0.0172786659733895</v>
      </c>
      <c r="BE243" s="33" t="n">
        <f aca="false">MOD(N243-15*AH243,360)</f>
        <v>149.215002794558</v>
      </c>
      <c r="BF243" s="27" t="n">
        <f aca="false">COS($A$4*AG243)*SIN($A$4*BE243)</f>
        <v>0.458310614453235</v>
      </c>
      <c r="BG243" s="27" t="n">
        <f aca="false">COS($A$4*AG243)*COS($A$4*BE243)-BB243*BD243</f>
        <v>-0.78519435611506</v>
      </c>
      <c r="BH243" s="27" t="n">
        <f aca="false">SIN($A$4*AG243)-BC243*BD243</f>
        <v>-0.438439787606828</v>
      </c>
      <c r="BI243" s="46" t="n">
        <f aca="false">SQRT(BF243^2+BG243^2+BH243^2)</f>
        <v>1.00936031403665</v>
      </c>
      <c r="BJ243" s="35" t="n">
        <f aca="false">AX243*BI243</f>
        <v>372589.029921898</v>
      </c>
      <c r="BK243" s="0"/>
    </row>
    <row r="244" customFormat="false" ht="15" hidden="false" customHeight="false" outlineLevel="0" collapsed="false">
      <c r="C244" s="15" t="n">
        <f aca="false">MOD(C243+3,24)</f>
        <v>6</v>
      </c>
      <c r="D244" s="105" t="n">
        <v>31</v>
      </c>
      <c r="E244" s="102" t="n">
        <f aca="false">input!$C$2</f>
        <v>10</v>
      </c>
      <c r="F244" s="102" t="n">
        <f aca="false">input!$D$2</f>
        <v>2022</v>
      </c>
      <c r="H244" s="39" t="n">
        <f aca="false">AM244</f>
        <v>-40.1501857172111</v>
      </c>
      <c r="I244" s="48" t="n">
        <f aca="false">H244+1.02/(TAN($A$4*(H244+10.3/(H244+5.11)))*60)</f>
        <v>-40.1701295041326</v>
      </c>
      <c r="J244" s="39" t="n">
        <f aca="false">100*(1+COS($A$4*AQ244))/2</f>
        <v>38.4742205905588</v>
      </c>
      <c r="K244" s="48" t="n">
        <f aca="false">IF(AI244&gt;180,AT244-180,AT244+180)</f>
        <v>165.586937049035</v>
      </c>
      <c r="L244" s="10" t="n">
        <f aca="false">L243+1/8</f>
        <v>2459883.75</v>
      </c>
      <c r="M244" s="49" t="n">
        <f aca="false">(L244-2451545)/36525</f>
        <v>0.228302532511978</v>
      </c>
      <c r="N244" s="15" t="n">
        <f aca="false">MOD(280.46061837+360.98564736629*(L244-2451545)+0.000387933*M244^2-M244^3/38710000+$G$4,360)</f>
        <v>129.527614240069</v>
      </c>
      <c r="O244" s="18" t="n">
        <f aca="false">0.60643382+1336.85522467*M244 - 0.00000313*M244^2 - INT(0.60643382+1336.85522467*M244 - 0.00000313*M244^2)</f>
        <v>0.813867050888462</v>
      </c>
      <c r="P244" s="15" t="n">
        <f aca="false">22640*SIN(Q244)-4586*SIN(Q244-2*S244)+2370*SIN(2*S244)+769*SIN(2*Q244)-668*SIN(R244)-412*SIN(2*T244)-212*SIN(2*Q244-2*S244)-206*SIN(Q244+R244-2*S244)+192*SIN(Q244+2*S244)-165*SIN(R244-2*S244)-125*SIN(S244)-110*SIN(Q244+R244)+148*SIN(Q244-R244)-55*SIN(2*T244-2*S244)</f>
        <v>4609.71942792831</v>
      </c>
      <c r="Q244" s="18" t="n">
        <f aca="false">2*PI()*(0.374897+1325.55241*M244 - INT(0.374897+1325.55241*M244))</f>
        <v>0.0117444065488166</v>
      </c>
      <c r="R244" s="26" t="n">
        <f aca="false">2*PI()*(0.99312619+99.99735956*M244 - 0.00000044*M244^2 - INT(0.99312619+99.99735956*M244- 0.00000044*M244^2))</f>
        <v>5.16965783871444</v>
      </c>
      <c r="S244" s="26" t="n">
        <f aca="false">2*PI()*(0.827361+1236.853086*M244 - INT(0.827361+1236.853086*M244))</f>
        <v>1.28210205156883</v>
      </c>
      <c r="T244" s="26" t="n">
        <f aca="false">2*PI()*(0.259086+1342.227825*M244 - INT(0.259086+1342.227825*M244))</f>
        <v>4.35486100575553</v>
      </c>
      <c r="U244" s="26" t="n">
        <f aca="false">T244+(P244+412*SIN(2*T244)+541*SIN(R244))/206264.8062</f>
        <v>4.37616581651314</v>
      </c>
      <c r="V244" s="26" t="n">
        <f aca="false">T244-2*S244</f>
        <v>1.79065690261788</v>
      </c>
      <c r="W244" s="25" t="n">
        <f aca="false">-526*SIN(V244)+44*SIN(Q244+V244)-31*SIN(-Q244+V244)-23*SIN(R244+V244)+11*SIN(-R244+V244)-25*SIN(-2*Q244+T244)+21*SIN(-Q244+T244)</f>
        <v>-509.04500275043</v>
      </c>
      <c r="X244" s="26" t="n">
        <f aca="false">2*PI()*(O244+P244/1296000-INT(O244+P244/1296000))</f>
        <v>5.13602604658732</v>
      </c>
      <c r="Y244" s="26" t="n">
        <f aca="false">(18520*SIN(U244)+W244)/206264.8062</f>
        <v>-0.0872279841633161</v>
      </c>
      <c r="Z244" s="26" t="n">
        <f aca="false">Y244*180/PI()</f>
        <v>-4.99779534799199</v>
      </c>
      <c r="AA244" s="26" t="n">
        <f aca="false">COS(Y244)*COS(X244)</f>
        <v>0.409515813370519</v>
      </c>
      <c r="AB244" s="26" t="n">
        <f aca="false">COS(Y244)*SIN(X244)</f>
        <v>-0.90813399636719</v>
      </c>
      <c r="AC244" s="26" t="n">
        <f aca="false">SIN(Y244)</f>
        <v>-0.0871174106688137</v>
      </c>
      <c r="AD244" s="26" t="n">
        <f aca="false">COS($A$4*(23.4393-46.815*M244/3600))*AB244-SIN($A$4*(23.4393-46.815*M244/3600))*AC244</f>
        <v>-0.798566125955045</v>
      </c>
      <c r="AE244" s="26" t="n">
        <f aca="false">SIN($A$4*(23.4393-46.815*M244/3600))*AB244+COS($A$4*(23.4393-46.815*M244/3600))*AC244</f>
        <v>-0.44112236519659</v>
      </c>
      <c r="AF244" s="26" t="n">
        <f aca="false">SQRT(1-AE244*AE244)</f>
        <v>0.897446967192695</v>
      </c>
      <c r="AG244" s="10" t="n">
        <f aca="false">ATAN(AE244/AF244)/$A$4</f>
        <v>-26.1755143979212</v>
      </c>
      <c r="AH244" s="26" t="n">
        <f aca="false">IF(24*ATAN(AD244/(AA244+AF244))/PI()&gt;0,24*ATAN(AD244/(AA244+AF244))/PI(),24*ATAN(AD244/(AA244+AF244))/PI()+24)</f>
        <v>19.8099587950751</v>
      </c>
      <c r="AI244" s="10" t="n">
        <f aca="false">IF(N244-15*AH244&gt;0,N244-15*AH244,360+N244-15*AH244)</f>
        <v>192.378232313943</v>
      </c>
      <c r="AJ244" s="18" t="n">
        <f aca="false">0.950724+0.051818*COS(Q244)+0.009531*COS(2*S244-Q244)+0.007843*COS(2*S244)+0.002824*COS(2*Q244)+0.000857*COS(2*S244+Q244)+0.000533*COS(2*S244-R244)+0.000401*COS(2*S244-R244-Q244)+0.00032*COS(Q244-R244)-0.000271*COS(S244)</f>
        <v>0.989397675953877</v>
      </c>
      <c r="AK244" s="50" t="n">
        <f aca="false">ASIN(COS($A$4*$G$2)*COS($A$4*AG244)*COS($A$4*AI244)+SIN($A$4*$G$2)*SIN($A$4*AG244))/$A$4</f>
        <v>-39.3858944018516</v>
      </c>
      <c r="AL244" s="18" t="n">
        <f aca="false">ASIN((0.9983271+0.0016764*COS($A$4*2*$G$2))*COS($A$4*AK244)*SIN($A$4*AJ244))/$A$4</f>
        <v>0.764291315359472</v>
      </c>
      <c r="AM244" s="18" t="n">
        <f aca="false">AK244-AL244</f>
        <v>-40.1501857172111</v>
      </c>
      <c r="AN244" s="10" t="n">
        <f aca="false"> IF(280.4664567 + 360007.6982779*M244/10 + 0.03032028*M244^2/100 + M244^3/49931000&lt;0,MOD(280.4664567 + 360007.6982779*M244/10 + 0.03032028*M244^2/100 + M244^3/49931000+360,360),MOD(280.4664567 + 360007.6982779*M244/10 + 0.03032028*M244^2/100 + M244^3/49931000,360))</f>
        <v>219.533396569057</v>
      </c>
      <c r="AO244" s="27" t="n">
        <f aca="false"> AN244 + (1.9146 - 0.004817*M244 - 0.000014*M244^2)*SIN(R244)+ (0.019993 - 0.000101*M244)*SIN(2*R244)+ 0.00029*SIN(3*R244)</f>
        <v>217.800722367315</v>
      </c>
      <c r="AP244" s="18" t="n">
        <f aca="false">ACOS(COS(X244-$A$4*AO244)*COS(Y244))/$A$4</f>
        <v>76.5242985527679</v>
      </c>
      <c r="AQ244" s="25" t="n">
        <f aca="false">180 - AP244 -0.1468*(1-0.0549*SIN(R244))*SIN($A$4*AP244)/(1-0.0167*SIN($A$4*AO244))</f>
        <v>103.327428470059</v>
      </c>
      <c r="AR244" s="25" t="n">
        <f aca="false">SIN($A$4*AI244)</f>
        <v>-0.21436425650308</v>
      </c>
      <c r="AS244" s="25" t="n">
        <f aca="false">COS($A$4*AI244)*SIN($A$4*$G$2) - TAN($A$4*AG244)*COS($A$4*$G$2)</f>
        <v>0.834104125117243</v>
      </c>
      <c r="AT244" s="25" t="n">
        <f aca="false">IF(OR(AND(AR244*AS244&gt;0), AND(AR244&lt;0,AS244&gt;0)), MOD(ATAN2(AS244,AR244)/$A$4+360,360),  ATAN2(AS244,AR244)/$A$4)</f>
        <v>345.586937049035</v>
      </c>
      <c r="AU244" s="29" t="n">
        <f aca="false">(1+SIN($A$4*H244)*SIN($A$4*AJ244))*120*ASIN(0.272481*SIN($A$4*AJ244))/$A$4</f>
        <v>31.9893830509534</v>
      </c>
      <c r="AV244" s="10" t="n">
        <f aca="false">COS(X244)</f>
        <v>0.411078713686875</v>
      </c>
      <c r="AW244" s="10" t="n">
        <f aca="false">SIN(X244)</f>
        <v>-0.911599852541423</v>
      </c>
      <c r="AX244" s="30" t="n">
        <f aca="false"> 385000.56 + (-20905355*COS(Q244) - 3699111*COS(2*S244-Q244) - 2955968*COS(2*S244) - 569925*COS(2*Q244) + (1-0.002516*M244)*48888*COS(R244) - 3149*COS(2*T244)  +246158*COS(2*S244-2*Q244) -(1-0.002516*M244)*152138*COS(2*S244-R244-Q244) -170733*COS(2*S244+Q244) -(1-0.002516*M244)*204586*COS(2*S244-R244) -(1-0.002516*M244)*129620*COS(R244-Q244)  + 108743*COS(S244) +(1-0.002516*M244)*104755*COS(R244+Q244) +10321*COS(2*S244-2*T244) +79661*COS(Q244-2*T244) -34782*COS(4*S244-Q244) -23210*COS(3*Q244)  -21636*COS(4*S244-2*Q244) +(1-0.002516*M244)*24208*COS(2*S244+R244-Q244) +(1-0.002516*M244)*30824*COS(2*S244+R244) -8379*COS(S244-Q244) -(1-0.002516*M244)*16675*COS(S244+R244)  -(1-0.002516*M244)*12831*COS(2*S244-R244+Q244) -10445*COS(2*S244+2*Q244) -11650*COS(4*S244) +14403*COS(2*S244-3*Q244) -(1-0.002516*M244)*7003*COS(R244-2*Q244)  + (1-0.002516*M244)*10056*COS(2*S244-R244-2*Q244) +6322*COS(S244+Q244) -(1-0.002516*M244)*(1-0.002516*M244)*9884*COS(2*S244-2*R244) +(1-0.002516*M244)*5751*COS(R244+2*Q244) -(1-0.002516*M244)*(1-0.002516*M244)*4950*COS(2*S244-2*R244-Q244)  +4130*COS(2*S244+Q244-2*T244) -(1-0.002516*M244)*3958*COS(4*S244-R244-Q244) +3258*COS(3*S244-Q244) +(1-0.002516*M244)*2616*COS(2*S244+R244+Q244) -(1-0.002516*M244)*1897*COS(4*S244-R244-2*Q244)  -(1-0.002516*M244)*(1-0.002516*M244)*2117*COS(2*R244-Q244) +(1-0.002516*M244)*(1-0.002516*M244)*2354*COS(2*S244+2*R244-Q244) -1423*COS(4*S244+Q244) -1117*COS(4*Q244) -(1-0.002516*M244)*1571*COS(4*S244-R244)  -1739*COS(S244-2*Q244) -4421*COS(2*Q244-2*T244) +(1-0.002516*M244)*(1-0.002516*M244)*1165*COS(2*R244+Q244) +8752*COS(2*S244-Q244-2*T244))/1000</f>
        <v>369269.503671395</v>
      </c>
      <c r="AY244" s="10" t="n">
        <f aca="false">IF($A$7&gt;30,AY243+1/8,"")</f>
        <v>31.25</v>
      </c>
      <c r="AZ244" s="17" t="n">
        <f aca="false">AZ243+1</f>
        <v>243</v>
      </c>
      <c r="BA244" s="32" t="n">
        <f aca="false">ATAN(0.99664719*TAN($A$4*input!$E$2))</f>
        <v>-0.400219206115995</v>
      </c>
      <c r="BB244" s="32" t="n">
        <f aca="false">COS(BA244)</f>
        <v>0.920975608992155</v>
      </c>
      <c r="BC244" s="32" t="n">
        <f aca="false">0.99664719*SIN(BA244)</f>
        <v>-0.388313912533463</v>
      </c>
      <c r="BD244" s="32" t="n">
        <f aca="false">6378.14/AX244</f>
        <v>0.0172723172008154</v>
      </c>
      <c r="BE244" s="33" t="n">
        <f aca="false">MOD(N244-15*AH244,360)</f>
        <v>192.378232313943</v>
      </c>
      <c r="BF244" s="27" t="n">
        <f aca="false">COS($A$4*AG244)*SIN($A$4*BE244)</f>
        <v>-0.192380551873206</v>
      </c>
      <c r="BG244" s="27" t="n">
        <f aca="false">COS($A$4*AG244)*COS($A$4*BE244)-BB244*BD244</f>
        <v>-0.89249210903972</v>
      </c>
      <c r="BH244" s="27" t="n">
        <f aca="false">SIN($A$4*AG244)-BC244*BD244</f>
        <v>-0.434415284125822</v>
      </c>
      <c r="BI244" s="46" t="n">
        <f aca="false">SQRT(BF244^2+BG244^2+BH244^2)</f>
        <v>1.01107323202591</v>
      </c>
      <c r="BJ244" s="35" t="n">
        <f aca="false">AX244*BI244</f>
        <v>373358.510565642</v>
      </c>
    </row>
    <row r="245" customFormat="false" ht="15" hidden="false" customHeight="false" outlineLevel="0" collapsed="false">
      <c r="C245" s="15" t="n">
        <f aca="false">MOD(C244+3,24)</f>
        <v>9</v>
      </c>
      <c r="D245" s="105" t="n">
        <v>31</v>
      </c>
      <c r="E245" s="102" t="n">
        <f aca="false">input!$C$2</f>
        <v>10</v>
      </c>
      <c r="F245" s="102" t="n">
        <f aca="false">input!$D$2</f>
        <v>2022</v>
      </c>
      <c r="H245" s="39" t="n">
        <f aca="false">AM245</f>
        <v>-18.2688797322983</v>
      </c>
      <c r="I245" s="48" t="n">
        <f aca="false">H245+1.02/(TAN($A$4*(H245+10.3/(H245+5.11)))*60)</f>
        <v>-18.3181071935684</v>
      </c>
      <c r="J245" s="39" t="n">
        <f aca="false">100*(1+COS($A$4*AQ245))/2</f>
        <v>39.8803213020245</v>
      </c>
      <c r="K245" s="48" t="n">
        <f aca="false">IF(AI245&gt;180,AT245-180,AT245+180)</f>
        <v>129.002047146331</v>
      </c>
      <c r="L245" s="10" t="n">
        <f aca="false">L244+1/8</f>
        <v>2459883.875</v>
      </c>
      <c r="M245" s="49" t="n">
        <f aca="false">(L245-2451545)/36525</f>
        <v>0.228305954825462</v>
      </c>
      <c r="N245" s="15" t="n">
        <f aca="false">MOD(280.46061837+360.98564736629*(L245-2451545)+0.000387933*M245^2-M245^3/38710000+$G$4,360)</f>
        <v>174.650820161682</v>
      </c>
      <c r="O245" s="18" t="n">
        <f aca="false">0.60643382+1336.85522467*M245 - 0.00000313*M245^2 - INT(0.60643382+1336.85522467*M245 - 0.00000313*M245^2)</f>
        <v>0.818442188545021</v>
      </c>
      <c r="P245" s="15" t="n">
        <f aca="false">22640*SIN(Q245)-4586*SIN(Q245-2*S245)+2370*SIN(2*S245)+769*SIN(2*Q245)-668*SIN(R245)-412*SIN(2*T245)-212*SIN(2*Q245-2*S245)-206*SIN(Q245+R245-2*S245)+192*SIN(Q245+2*S245)-165*SIN(R245-2*S245)-125*SIN(S245)-110*SIN(Q245+R245)+148*SIN(Q245-R245)-55*SIN(2*T245-2*S245)</f>
        <v>5088.90749623599</v>
      </c>
      <c r="Q245" s="18" t="n">
        <f aca="false">2*PI()*(0.374897+1325.55241*M245 - INT(0.374897+1325.55241*M245))</f>
        <v>0.0402477995206152</v>
      </c>
      <c r="R245" s="26" t="n">
        <f aca="false">2*PI()*(0.99312619+99.99735956*M245 - 0.00000044*M245^2 - INT(0.99312619+99.99735956*M245- 0.00000044*M245^2))</f>
        <v>5.17180808491254</v>
      </c>
      <c r="S245" s="26" t="n">
        <f aca="false">2*PI()*(0.827361+1236.853086*M245 - INT(0.827361+1236.853086*M245))</f>
        <v>1.30869814033375</v>
      </c>
      <c r="T245" s="26" t="n">
        <f aca="false">2*PI()*(0.259086+1342.227825*M245 - INT(0.259086+1342.227825*M245))</f>
        <v>4.38372297067329</v>
      </c>
      <c r="U245" s="26" t="n">
        <f aca="false">T245+(P245+412*SIN(2*T245)+541*SIN(R245))/206264.8062</f>
        <v>4.40726425543463</v>
      </c>
      <c r="V245" s="26" t="n">
        <f aca="false">T245-2*S245</f>
        <v>1.76632669000579</v>
      </c>
      <c r="W245" s="25" t="n">
        <f aca="false">-526*SIN(V245)+44*SIN(Q245+V245)-31*SIN(-Q245+V245)-23*SIN(R245+V245)+11*SIN(-R245+V245)-25*SIN(-2*Q245+T245)+21*SIN(-Q245+T245)</f>
        <v>-511.612586297915</v>
      </c>
      <c r="X245" s="26" t="n">
        <f aca="false">2*PI()*(O245+P245/1296000-INT(O245+P245/1296000))</f>
        <v>5.16709565360274</v>
      </c>
      <c r="Y245" s="26" t="n">
        <f aca="false">(18520*SIN(U245)+W245)/206264.8062</f>
        <v>-0.0881205315452464</v>
      </c>
      <c r="Z245" s="26" t="n">
        <f aca="false">Y245*180/PI()</f>
        <v>-5.04893454599205</v>
      </c>
      <c r="AA245" s="26" t="n">
        <f aca="false">COS(Y245)*COS(X245)</f>
        <v>0.437494674596491</v>
      </c>
      <c r="AB245" s="26" t="n">
        <f aca="false">COS(Y245)*SIN(X245)</f>
        <v>-0.894904050951883</v>
      </c>
      <c r="AC245" s="26" t="n">
        <f aca="false">SIN(Y245)</f>
        <v>-0.0880065298123951</v>
      </c>
      <c r="AD245" s="26" t="n">
        <f aca="false">COS($A$4*(23.4393-46.815*M245/3600))*AB245-SIN($A$4*(23.4393-46.815*M245/3600))*AC245</f>
        <v>-0.786073987695907</v>
      </c>
      <c r="AE245" s="26" t="n">
        <f aca="false">SIN($A$4*(23.4393-46.815*M245/3600))*AB245+COS($A$4*(23.4393-46.815*M245/3600))*AC245</f>
        <v>-0.436676190749582</v>
      </c>
      <c r="AF245" s="26" t="n">
        <f aca="false">SQRT(1-AE245*AE245)</f>
        <v>0.899618755047067</v>
      </c>
      <c r="AG245" s="10" t="n">
        <f aca="false">ATAN(AE245/AF245)/$A$4</f>
        <v>-25.8920005477089</v>
      </c>
      <c r="AH245" s="26" t="n">
        <f aca="false">IF(24*ATAN(AD245/(AA245+AF245))/PI()&gt;0,24*ATAN(AD245/(AA245+AF245))/PI(),24*ATAN(AD245/(AA245+AF245))/PI()+24)</f>
        <v>19.9398942871226</v>
      </c>
      <c r="AI245" s="10" t="n">
        <f aca="false">IF(N245-15*AH245&gt;0,N245-15*AH245,360+N245-15*AH245)</f>
        <v>235.552405854842</v>
      </c>
      <c r="AJ245" s="18" t="n">
        <f aca="false">0.950724+0.051818*COS(Q245)+0.009531*COS(2*S245-Q245)+0.007843*COS(2*S245)+0.002824*COS(2*Q245)+0.000857*COS(2*S245+Q245)+0.000533*COS(2*S245-R245)+0.000401*COS(2*S245-R245-Q245)+0.00032*COS(Q245-R245)-0.000271*COS(S245)</f>
        <v>0.988987597937706</v>
      </c>
      <c r="AK245" s="50" t="n">
        <f aca="false">ASIN(COS($A$4*$G$2)*COS($A$4*AG245)*COS($A$4*AI245)+SIN($A$4*$G$2)*SIN($A$4*AG245))/$A$4</f>
        <v>-17.3252469919771</v>
      </c>
      <c r="AL245" s="18" t="n">
        <f aca="false">ASIN((0.9983271+0.0016764*COS($A$4*2*$G$2))*COS($A$4*AK245)*SIN($A$4*AJ245))/$A$4</f>
        <v>0.943632740321206</v>
      </c>
      <c r="AM245" s="18" t="n">
        <f aca="false">AK245-AL245</f>
        <v>-18.2688797322983</v>
      </c>
      <c r="AN245" s="10" t="n">
        <f aca="false"> IF(280.4664567 + 360007.6982779*M245/10 + 0.03032028*M245^2/100 + M245^3/49931000&lt;0,MOD(280.4664567 + 360007.6982779*M245/10 + 0.03032028*M245^2/100 + M245^3/49931000+360,360),MOD(280.4664567 + 360007.6982779*M245/10 + 0.03032028*M245^2/100 + M245^3/49931000,360))</f>
        <v>219.656602489542</v>
      </c>
      <c r="AO245" s="27" t="n">
        <f aca="false"> AN245 + (1.9146 - 0.004817*M245 - 0.000014*M245^2)*SIN(R245)+ (0.019993 - 0.000101*M245)*SIN(2*R245)+ 0.00029*SIN(3*R245)</f>
        <v>217.925694727774</v>
      </c>
      <c r="AP245" s="18" t="n">
        <f aca="false">ACOS(COS(X245-$A$4*AO245)*COS(Y245))/$A$4</f>
        <v>78.1738136382111</v>
      </c>
      <c r="AQ245" s="25" t="n">
        <f aca="false">180 - AP245 -0.1468*(1-0.0549*SIN(R245))*SIN($A$4*AP245)/(1-0.0167*SIN($A$4*AO245))</f>
        <v>101.676963735307</v>
      </c>
      <c r="AR245" s="25" t="n">
        <f aca="false">SIN($A$4*AI245)</f>
        <v>-0.824643909955425</v>
      </c>
      <c r="AS245" s="25" t="n">
        <f aca="false">COS($A$4*AI245)*SIN($A$4*$G$2) - TAN($A$4*AG245)*COS($A$4*$G$2)</f>
        <v>0.667832257901189</v>
      </c>
      <c r="AT245" s="25" t="n">
        <f aca="false">IF(OR(AND(AR245*AS245&gt;0), AND(AR245&lt;0,AS245&gt;0)), MOD(ATAN2(AS245,AR245)/$A$4+360,360),  ATAN2(AS245,AR245)/$A$4)</f>
        <v>309.002047146331</v>
      </c>
      <c r="AU245" s="29" t="n">
        <f aca="false">(1+SIN($A$4*H245)*SIN($A$4*AJ245))*120*ASIN(0.272481*SIN($A$4*AJ245))/$A$4</f>
        <v>32.1611923676905</v>
      </c>
      <c r="AV245" s="10" t="n">
        <f aca="false">COS(X245)</f>
        <v>0.439198810887083</v>
      </c>
      <c r="AW245" s="10" t="n">
        <f aca="false">SIN(X245)</f>
        <v>-0.898389895599551</v>
      </c>
      <c r="AX245" s="30" t="n">
        <f aca="false"> 385000.56 + (-20905355*COS(Q245) - 3699111*COS(2*S245-Q245) - 2955968*COS(2*S245) - 569925*COS(2*Q245) + (1-0.002516*M245)*48888*COS(R245) - 3149*COS(2*T245)  +246158*COS(2*S245-2*Q245) -(1-0.002516*M245)*152138*COS(2*S245-R245-Q245) -170733*COS(2*S245+Q245) -(1-0.002516*M245)*204586*COS(2*S245-R245) -(1-0.002516*M245)*129620*COS(R245-Q245)  + 108743*COS(S245) +(1-0.002516*M245)*104755*COS(R245+Q245) +10321*COS(2*S245-2*T245) +79661*COS(Q245-2*T245) -34782*COS(4*S245-Q245) -23210*COS(3*Q245)  -21636*COS(4*S245-2*Q245) +(1-0.002516*M245)*24208*COS(2*S245+R245-Q245) +(1-0.002516*M245)*30824*COS(2*S245+R245) -8379*COS(S245-Q245) -(1-0.002516*M245)*16675*COS(S245+R245)  -(1-0.002516*M245)*12831*COS(2*S245-R245+Q245) -10445*COS(2*S245+2*Q245) -11650*COS(4*S245) +14403*COS(2*S245-3*Q245) -(1-0.002516*M245)*7003*COS(R245-2*Q245)  + (1-0.002516*M245)*10056*COS(2*S245-R245-2*Q245) +6322*COS(S245+Q245) -(1-0.002516*M245)*(1-0.002516*M245)*9884*COS(2*S245-2*R245) +(1-0.002516*M245)*5751*COS(R245+2*Q245) -(1-0.002516*M245)*(1-0.002516*M245)*4950*COS(2*S245-2*R245-Q245)  +4130*COS(2*S245+Q245-2*T245) -(1-0.002516*M245)*3958*COS(4*S245-R245-Q245) +3258*COS(3*S245-Q245) +(1-0.002516*M245)*2616*COS(2*S245+R245+Q245) -(1-0.002516*M245)*1897*COS(4*S245-R245-2*Q245)  -(1-0.002516*M245)*(1-0.002516*M245)*2117*COS(2*R245-Q245) +(1-0.002516*M245)*(1-0.002516*M245)*2354*COS(2*S245+2*R245-Q245) -1423*COS(4*S245+Q245) -1117*COS(4*Q245) -(1-0.002516*M245)*1571*COS(4*S245-R245)  -1739*COS(S245-2*Q245) -4421*COS(2*Q245-2*T245) +(1-0.002516*M245)*(1-0.002516*M245)*1165*COS(2*R245+Q245) +8752*COS(2*S245-Q245-2*T245))/1000</f>
        <v>369413.888434323</v>
      </c>
      <c r="AY245" s="10" t="n">
        <f aca="false">IF($A$7&gt;30,AY244+1/8,"")</f>
        <v>31.375</v>
      </c>
      <c r="AZ245" s="17" t="n">
        <f aca="false">AZ244+1</f>
        <v>244</v>
      </c>
      <c r="BA245" s="32" t="n">
        <f aca="false">ATAN(0.99664719*TAN($A$4*input!$E$2))</f>
        <v>-0.400219206115995</v>
      </c>
      <c r="BB245" s="32" t="n">
        <f aca="false">COS(BA245)</f>
        <v>0.920975608992155</v>
      </c>
      <c r="BC245" s="32" t="n">
        <f aca="false">0.99664719*SIN(BA245)</f>
        <v>-0.388313912533463</v>
      </c>
      <c r="BD245" s="32" t="n">
        <f aca="false">6378.14/AX245</f>
        <v>0.0172655663462798</v>
      </c>
      <c r="BE245" s="33" t="n">
        <f aca="false">MOD(N245-15*AH245,360)</f>
        <v>235.552405854842</v>
      </c>
      <c r="BF245" s="27" t="n">
        <f aca="false">COS($A$4*AG245)*SIN($A$4*BE245)</f>
        <v>-0.741865127631245</v>
      </c>
      <c r="BG245" s="27" t="n">
        <f aca="false">COS($A$4*AG245)*COS($A$4*BE245)-BB245*BD245</f>
        <v>-0.524772501710954</v>
      </c>
      <c r="BH245" s="27" t="n">
        <f aca="false">SIN($A$4*AG245)-BC245*BD245</f>
        <v>-0.429971731129552</v>
      </c>
      <c r="BI245" s="46" t="n">
        <f aca="false">SQRT(BF245^2+BG245^2+BH245^2)</f>
        <v>1.00529882906419</v>
      </c>
      <c r="BJ245" s="35" t="n">
        <f aca="false">AX245*BI245</f>
        <v>371371.349483076</v>
      </c>
    </row>
    <row r="246" customFormat="false" ht="15" hidden="false" customHeight="false" outlineLevel="0" collapsed="false">
      <c r="C246" s="15" t="n">
        <f aca="false">MOD(C245+3,24)</f>
        <v>12</v>
      </c>
      <c r="D246" s="105" t="n">
        <v>31</v>
      </c>
      <c r="E246" s="102" t="n">
        <f aca="false">input!$C$2</f>
        <v>10</v>
      </c>
      <c r="F246" s="102" t="n">
        <f aca="false">input!$D$2</f>
        <v>2022</v>
      </c>
      <c r="H246" s="39" t="n">
        <f aca="false">AM246</f>
        <v>16.2048886375281</v>
      </c>
      <c r="I246" s="48" t="n">
        <f aca="false">H246+1.02/(TAN($A$4*(H246+10.3/(H246+5.11)))*60)</f>
        <v>16.261595308167</v>
      </c>
      <c r="J246" s="39" t="n">
        <f aca="false">100*(1+COS($A$4*AQ246))/2</f>
        <v>41.2932073447755</v>
      </c>
      <c r="K246" s="48" t="n">
        <f aca="false">IF(AI246&gt;180,AT246-180,AT246+180)</f>
        <v>111.097221628728</v>
      </c>
      <c r="L246" s="10" t="n">
        <f aca="false">L245+1/8</f>
        <v>2459884</v>
      </c>
      <c r="M246" s="49" t="n">
        <f aca="false">(L246-2451545)/36525</f>
        <v>0.228309377138946</v>
      </c>
      <c r="N246" s="15" t="n">
        <f aca="false">MOD(280.46061837+360.98564736629*(L246-2451545)+0.000387933*M246^2-M246^3/38710000+$G$4,360)</f>
        <v>219.774026082829</v>
      </c>
      <c r="O246" s="18" t="n">
        <f aca="false">0.60643382+1336.85522467*M246 - 0.00000313*M246^2 - INT(0.60643382+1336.85522467*M246 - 0.00000313*M246^2)</f>
        <v>0.823017326201523</v>
      </c>
      <c r="P246" s="15" t="n">
        <f aca="false">22640*SIN(Q246)-4586*SIN(Q246-2*S246)+2370*SIN(2*S246)+769*SIN(2*Q246)-668*SIN(R246)-412*SIN(2*T246)-212*SIN(2*Q246-2*S246)-206*SIN(Q246+R246-2*S246)+192*SIN(Q246+2*S246)-165*SIN(R246-2*S246)-125*SIN(S246)-110*SIN(Q246+R246)+148*SIN(Q246-R246)-55*SIN(2*T246-2*S246)</f>
        <v>5562.7351268681</v>
      </c>
      <c r="Q246" s="18" t="n">
        <f aca="false">2*PI()*(0.374897+1325.55241*M246 - INT(0.374897+1325.55241*M246))</f>
        <v>0.0687511924924138</v>
      </c>
      <c r="R246" s="26" t="n">
        <f aca="false">2*PI()*(0.99312619+99.99735956*M246 - 0.00000044*M246^2 - INT(0.99312619+99.99735956*M246- 0.00000044*M246^2))</f>
        <v>5.1739583311106</v>
      </c>
      <c r="S246" s="26" t="n">
        <f aca="false">2*PI()*(0.827361+1236.853086*M246 - INT(0.827361+1236.853086*M246))</f>
        <v>1.33529422909867</v>
      </c>
      <c r="T246" s="26" t="n">
        <f aca="false">2*PI()*(0.259086+1342.227825*M246 - INT(0.259086+1342.227825*M246))</f>
        <v>4.4125849355907</v>
      </c>
      <c r="U246" s="26" t="n">
        <f aca="false">T246+(P246+412*SIN(2*T246)+541*SIN(R246))/206264.8062</f>
        <v>4.43833265163226</v>
      </c>
      <c r="V246" s="26" t="n">
        <f aca="false">T246-2*S246</f>
        <v>1.74199647739335</v>
      </c>
      <c r="W246" s="25" t="n">
        <f aca="false">-526*SIN(V246)+44*SIN(Q246+V246)-31*SIN(-Q246+V246)-23*SIN(R246+V246)+11*SIN(-R246+V246)-25*SIN(-2*Q246+T246)+21*SIN(-Q246+T246)</f>
        <v>-513.803305517982</v>
      </c>
      <c r="X246" s="26" t="n">
        <f aca="false">2*PI()*(O246+P246/1296000-INT(O246+P246/1296000))</f>
        <v>5.19813927248258</v>
      </c>
      <c r="Y246" s="26" t="n">
        <f aca="false">(18520*SIN(U246)+W246)/206264.8062</f>
        <v>-0.0889277048067044</v>
      </c>
      <c r="Z246" s="26" t="n">
        <f aca="false">Y246*180/PI()</f>
        <v>-5.09518216720941</v>
      </c>
      <c r="AA246" s="26" t="n">
        <f aca="false">COS(Y246)*COS(X246)</f>
        <v>0.465027165263865</v>
      </c>
      <c r="AB246" s="26" t="n">
        <f aca="false">COS(Y246)*SIN(X246)</f>
        <v>-0.880830530309236</v>
      </c>
      <c r="AC246" s="26" t="n">
        <f aca="false">SIN(Y246)</f>
        <v>-0.0888105424023754</v>
      </c>
      <c r="AD246" s="26" t="n">
        <f aca="false">COS($A$4*(23.4393-46.815*M246/3600))*AB246-SIN($A$4*(23.4393-46.815*M246/3600))*AC246</f>
        <v>-0.772841716364696</v>
      </c>
      <c r="AE246" s="26" t="n">
        <f aca="false">SIN($A$4*(23.4393-46.815*M246/3600))*AB246+COS($A$4*(23.4393-46.815*M246/3600))*AC246</f>
        <v>-0.431816415868045</v>
      </c>
      <c r="AF246" s="26" t="n">
        <f aca="false">SQRT(1-AE246*AE246)</f>
        <v>0.901961519681896</v>
      </c>
      <c r="AG246" s="10" t="n">
        <f aca="false">ATAN(AE246/AF246)/$A$4</f>
        <v>-25.5828897979597</v>
      </c>
      <c r="AH246" s="26" t="n">
        <f aca="false">IF(24*ATAN(AD246/(AA246+AF246))/PI()&gt;0,24*ATAN(AD246/(AA246+AF246))/PI(),24*ATAN(AD246/(AA246+AF246))/PI()+24)</f>
        <v>20.069051637404</v>
      </c>
      <c r="AI246" s="10" t="n">
        <f aca="false">IF(N246-15*AH246&gt;0,N246-15*AH246,360+N246-15*AH246)</f>
        <v>278.738251521769</v>
      </c>
      <c r="AJ246" s="18" t="n">
        <f aca="false">0.950724+0.051818*COS(Q246)+0.009531*COS(2*S246-Q246)+0.007843*COS(2*S246)+0.002824*COS(2*Q246)+0.000857*COS(2*S246+Q246)+0.000533*COS(2*S246-R246)+0.000401*COS(2*S246-R246-Q246)+0.00032*COS(Q246-R246)-0.000271*COS(S246)</f>
        <v>0.988556776546916</v>
      </c>
      <c r="AK246" s="50" t="n">
        <f aca="false">ASIN(COS($A$4*$G$2)*COS($A$4*AG246)*COS($A$4*AI246)+SIN($A$4*$G$2)*SIN($A$4*AG246))/$A$4</f>
        <v>17.1490109783386</v>
      </c>
      <c r="AL246" s="18" t="n">
        <f aca="false">ASIN((0.9983271+0.0016764*COS($A$4*2*$G$2))*COS($A$4*AK246)*SIN($A$4*AJ246))/$A$4</f>
        <v>0.944122340810497</v>
      </c>
      <c r="AM246" s="18" t="n">
        <f aca="false">AK246-AL246</f>
        <v>16.2048886375281</v>
      </c>
      <c r="AN246" s="10" t="n">
        <f aca="false"> IF(280.4664567 + 360007.6982779*M246/10 + 0.03032028*M246^2/100 + M246^3/49931000&lt;0,MOD(280.4664567 + 360007.6982779*M246/10 + 0.03032028*M246^2/100 + M246^3/49931000+360,360),MOD(280.4664567 + 360007.6982779*M246/10 + 0.03032028*M246^2/100 + M246^3/49931000,360))</f>
        <v>219.779808410029</v>
      </c>
      <c r="AO246" s="27" t="n">
        <f aca="false"> AN246 + (1.9146 - 0.004817*M246 - 0.000014*M246^2)*SIN(R246)+ (0.019993 - 0.000101*M246)*SIN(2*R246)+ 0.00029*SIN(3*R246)</f>
        <v>218.050675309287</v>
      </c>
      <c r="AP246" s="18" t="n">
        <f aca="false">ACOS(COS(X246-$A$4*AO246)*COS(Y246))/$A$4</f>
        <v>79.8215783541943</v>
      </c>
      <c r="AQ246" s="25" t="n">
        <f aca="false">180 - AP246 -0.1468*(1-0.0549*SIN(R246))*SIN($A$4*AP246)/(1-0.0167*SIN($A$4*AO246))</f>
        <v>100.02837403077</v>
      </c>
      <c r="AR246" s="25" t="n">
        <f aca="false">SIN($A$4*AI246)</f>
        <v>-0.988392682533171</v>
      </c>
      <c r="AS246" s="25" t="n">
        <f aca="false">COS($A$4*AI246)*SIN($A$4*$G$2) - TAN($A$4*AG246)*COS($A$4*$G$2)</f>
        <v>0.381333930682335</v>
      </c>
      <c r="AT246" s="25" t="n">
        <f aca="false">IF(OR(AND(AR246*AS246&gt;0), AND(AR246&lt;0,AS246&gt;0)), MOD(ATAN2(AS246,AR246)/$A$4+360,360),  ATAN2(AS246,AR246)/$A$4)</f>
        <v>291.097221628728</v>
      </c>
      <c r="AU246" s="29" t="n">
        <f aca="false">(1+SIN($A$4*H246)*SIN($A$4*AJ246))*120*ASIN(0.272481*SIN($A$4*AJ246))/$A$4</f>
        <v>32.4776912929478</v>
      </c>
      <c r="AV246" s="10" t="n">
        <f aca="false">COS(X246)</f>
        <v>0.466871992786664</v>
      </c>
      <c r="AW246" s="10" t="n">
        <f aca="false">SIN(X246)</f>
        <v>-0.884324907684619</v>
      </c>
      <c r="AX246" s="30" t="n">
        <f aca="false"> 385000.56 + (-20905355*COS(Q246) - 3699111*COS(2*S246-Q246) - 2955968*COS(2*S246) - 569925*COS(2*Q246) + (1-0.002516*M246)*48888*COS(R246) - 3149*COS(2*T246)  +246158*COS(2*S246-2*Q246) -(1-0.002516*M246)*152138*COS(2*S246-R246-Q246) -170733*COS(2*S246+Q246) -(1-0.002516*M246)*204586*COS(2*S246-R246) -(1-0.002516*M246)*129620*COS(R246-Q246)  + 108743*COS(S246) +(1-0.002516*M246)*104755*COS(R246+Q246) +10321*COS(2*S246-2*T246) +79661*COS(Q246-2*T246) -34782*COS(4*S246-Q246) -23210*COS(3*Q246)  -21636*COS(4*S246-2*Q246) +(1-0.002516*M246)*24208*COS(2*S246+R246-Q246) +(1-0.002516*M246)*30824*COS(2*S246+R246) -8379*COS(S246-Q246) -(1-0.002516*M246)*16675*COS(S246+R246)  -(1-0.002516*M246)*12831*COS(2*S246-R246+Q246) -10445*COS(2*S246+2*Q246) -11650*COS(4*S246) +14403*COS(2*S246-3*Q246) -(1-0.002516*M246)*7003*COS(R246-2*Q246)  + (1-0.002516*M246)*10056*COS(2*S246-R246-2*Q246) +6322*COS(S246+Q246) -(1-0.002516*M246)*(1-0.002516*M246)*9884*COS(2*S246-2*R246) +(1-0.002516*M246)*5751*COS(R246+2*Q246) -(1-0.002516*M246)*(1-0.002516*M246)*4950*COS(2*S246-2*R246-Q246)  +4130*COS(2*S246+Q246-2*T246) -(1-0.002516*M246)*3958*COS(4*S246-R246-Q246) +3258*COS(3*S246-Q246) +(1-0.002516*M246)*2616*COS(2*S246+R246+Q246) -(1-0.002516*M246)*1897*COS(4*S246-R246-2*Q246)  -(1-0.002516*M246)*(1-0.002516*M246)*2117*COS(2*R246-Q246) +(1-0.002516*M246)*(1-0.002516*M246)*2354*COS(2*S246+2*R246-Q246) -1423*COS(4*S246+Q246) -1117*COS(4*Q246) -(1-0.002516*M246)*1571*COS(4*S246-R246)  -1739*COS(S246-2*Q246) -4421*COS(2*Q246-2*T246) +(1-0.002516*M246)*(1-0.002516*M246)*1165*COS(2*R246+Q246) +8752*COS(2*S246-Q246-2*T246))/1000</f>
        <v>369566.696397361</v>
      </c>
      <c r="AY246" s="10" t="n">
        <f aca="false">IF($A$7&gt;30,AY245+1/8,"")</f>
        <v>31.5</v>
      </c>
      <c r="AZ246" s="17" t="n">
        <f aca="false">AZ245+1</f>
        <v>245</v>
      </c>
      <c r="BA246" s="32" t="n">
        <f aca="false">ATAN(0.99664719*TAN($A$4*input!$E$2))</f>
        <v>-0.400219206115995</v>
      </c>
      <c r="BB246" s="32" t="n">
        <f aca="false">COS(BA246)</f>
        <v>0.920975608992155</v>
      </c>
      <c r="BC246" s="32" t="n">
        <f aca="false">0.99664719*SIN(BA246)</f>
        <v>-0.388313912533463</v>
      </c>
      <c r="BD246" s="32" t="n">
        <f aca="false">6378.14/AX246</f>
        <v>0.0172584274020789</v>
      </c>
      <c r="BE246" s="33" t="n">
        <f aca="false">MOD(N246-15*AH246,360)</f>
        <v>278.738251521769</v>
      </c>
      <c r="BF246" s="27" t="n">
        <f aca="false">COS($A$4*AG246)*SIN($A$4*BE246)</f>
        <v>-0.891492165980085</v>
      </c>
      <c r="BG246" s="27" t="n">
        <f aca="false">COS($A$4*AG246)*COS($A$4*BE246)-BB246*BD246</f>
        <v>0.121132052645772</v>
      </c>
      <c r="BH246" s="27" t="n">
        <f aca="false">SIN($A$4*AG246)-BC246*BD246</f>
        <v>-0.425114728399369</v>
      </c>
      <c r="BI246" s="46" t="n">
        <f aca="false">SQRT(BF246^2+BG246^2+BH246^2)</f>
        <v>0.995064715726626</v>
      </c>
      <c r="BJ246" s="35" t="n">
        <f aca="false">AX246*BI246</f>
        <v>367742.779692668</v>
      </c>
    </row>
    <row r="247" customFormat="false" ht="15" hidden="false" customHeight="false" outlineLevel="0" collapsed="false">
      <c r="C247" s="15" t="n">
        <f aca="false">MOD(C246+3,24)</f>
        <v>15</v>
      </c>
      <c r="D247" s="105" t="n">
        <v>31</v>
      </c>
      <c r="E247" s="102" t="n">
        <f aca="false">input!$C$2</f>
        <v>10</v>
      </c>
      <c r="F247" s="102" t="n">
        <f aca="false">input!$D$2</f>
        <v>2022</v>
      </c>
      <c r="H247" s="39" t="n">
        <f aca="false">AM247</f>
        <v>54.7400554202878</v>
      </c>
      <c r="I247" s="48" t="n">
        <f aca="false">H247+1.02/(TAN($A$4*(H247+10.3/(H247+5.11)))*60)</f>
        <v>54.7519978346038</v>
      </c>
      <c r="J247" s="39" t="n">
        <f aca="false">100*(1+COS($A$4*AQ247))/2</f>
        <v>42.7116458045853</v>
      </c>
      <c r="K247" s="48" t="n">
        <f aca="false">IF(AI247&gt;180,AT247-180,AT247+180)</f>
        <v>101.593222137284</v>
      </c>
      <c r="L247" s="10" t="n">
        <f aca="false">L246+1/8</f>
        <v>2459884.125</v>
      </c>
      <c r="M247" s="49" t="n">
        <f aca="false">(L247-2451545)/36525</f>
        <v>0.22831279945243</v>
      </c>
      <c r="N247" s="15" t="n">
        <f aca="false">MOD(280.46061837+360.98564736629*(L247-2451545)+0.000387933*M247^2-M247^3/38710000+$G$4,360)</f>
        <v>264.897232004441</v>
      </c>
      <c r="O247" s="18" t="n">
        <f aca="false">0.60643382+1336.85522467*M247 - 0.00000313*M247^2 - INT(0.60643382+1336.85522467*M247 - 0.00000313*M247^2)</f>
        <v>0.827592463858082</v>
      </c>
      <c r="P247" s="15" t="n">
        <f aca="false">22640*SIN(Q247)-4586*SIN(Q247-2*S247)+2370*SIN(2*S247)+769*SIN(2*Q247)-668*SIN(R247)-412*SIN(2*T247)-212*SIN(2*Q247-2*S247)-206*SIN(Q247+R247-2*S247)+192*SIN(Q247+2*S247)-165*SIN(R247-2*S247)-125*SIN(S247)-110*SIN(Q247+R247)+148*SIN(Q247-R247)-55*SIN(2*T247-2*S247)</f>
        <v>6030.96082211507</v>
      </c>
      <c r="Q247" s="18" t="n">
        <f aca="false">2*PI()*(0.374897+1325.55241*M247 - INT(0.374897+1325.55241*M247))</f>
        <v>0.0972545854645696</v>
      </c>
      <c r="R247" s="26" t="n">
        <f aca="false">2*PI()*(0.99312619+99.99735956*M247 - 0.00000044*M247^2 - INT(0.99312619+99.99735956*M247- 0.00000044*M247^2))</f>
        <v>5.17610857730872</v>
      </c>
      <c r="S247" s="26" t="n">
        <f aca="false">2*PI()*(0.827361+1236.853086*M247 - INT(0.827361+1236.853086*M247))</f>
        <v>1.3618903178636</v>
      </c>
      <c r="T247" s="26" t="n">
        <f aca="false">2*PI()*(0.259086+1342.227825*M247 - INT(0.259086+1342.227825*M247))</f>
        <v>4.44144690050846</v>
      </c>
      <c r="U247" s="26" t="n">
        <f aca="false">T247+(P247+412*SIN(2*T247)+541*SIN(R247))/206264.8062</f>
        <v>4.46937014492933</v>
      </c>
      <c r="V247" s="26" t="n">
        <f aca="false">T247-2*S247</f>
        <v>1.71766626478126</v>
      </c>
      <c r="W247" s="25" t="n">
        <f aca="false">-526*SIN(V247)+44*SIN(Q247+V247)-31*SIN(-Q247+V247)-23*SIN(R247+V247)+11*SIN(-R247+V247)-25*SIN(-2*Q247+T247)+21*SIN(-Q247+T247)</f>
        <v>-515.61535934263</v>
      </c>
      <c r="X247" s="26" t="n">
        <f aca="false">2*PI()*(O247+P247/1296000-INT(O247+P247/1296000))</f>
        <v>5.22915573241362</v>
      </c>
      <c r="Y247" s="26" t="n">
        <f aca="false">(18520*SIN(U247)+W247)/206264.8062</f>
        <v>-0.08964894868474</v>
      </c>
      <c r="Z247" s="26" t="n">
        <f aca="false">Y247*180/PI()</f>
        <v>-5.13650639742049</v>
      </c>
      <c r="AA247" s="26" t="n">
        <f aca="false">COS(Y247)*COS(X247)</f>
        <v>0.492087589623249</v>
      </c>
      <c r="AB247" s="26" t="n">
        <f aca="false">COS(Y247)*SIN(X247)</f>
        <v>-0.865929776511314</v>
      </c>
      <c r="AC247" s="26" t="n">
        <f aca="false">SIN(Y247)</f>
        <v>-0.0895289131501491</v>
      </c>
      <c r="AD247" s="26" t="n">
        <f aca="false">COS($A$4*(23.4393-46.815*M247/3600))*AB247-SIN($A$4*(23.4393-46.815*M247/3600))*AC247</f>
        <v>-0.758884518754454</v>
      </c>
      <c r="AE247" s="26" t="n">
        <f aca="false">SIN($A$4*(23.4393-46.815*M247/3600))*AB247+COS($A$4*(23.4393-46.815*M247/3600))*AC247</f>
        <v>-0.426549049153321</v>
      </c>
      <c r="AF247" s="26" t="n">
        <f aca="false">SQRT(1-AE247*AE247)</f>
        <v>0.904464431952079</v>
      </c>
      <c r="AG247" s="10" t="n">
        <f aca="false">ATAN(AE247/AF247)/$A$4</f>
        <v>-25.248752629163</v>
      </c>
      <c r="AH247" s="26" t="n">
        <f aca="false">IF(24*ATAN(AD247/(AA247+AF247))/PI()&gt;0,24*ATAN(AD247/(AA247+AF247))/PI(),24*ATAN(AD247/(AA247+AF247))/PI()+24)</f>
        <v>20.1973868897522</v>
      </c>
      <c r="AI247" s="10" t="n">
        <f aca="false">IF(N247-15*AH247&gt;0,N247-15*AH247,360+N247-15*AH247)</f>
        <v>321.936428658158</v>
      </c>
      <c r="AJ247" s="18" t="n">
        <f aca="false">0.950724+0.051818*COS(Q247)+0.009531*COS(2*S247-Q247)+0.007843*COS(2*S247)+0.002824*COS(2*Q247)+0.000857*COS(2*S247+Q247)+0.000533*COS(2*S247-R247)+0.000401*COS(2*S247-R247-Q247)+0.00032*COS(Q247-R247)-0.000271*COS(S247)</f>
        <v>0.988106129907518</v>
      </c>
      <c r="AK247" s="50" t="n">
        <f aca="false">ASIN(COS($A$4*$G$2)*COS($A$4*AG247)*COS($A$4*AI247)+SIN($A$4*$G$2)*SIN($A$4*AG247))/$A$4</f>
        <v>55.3022276264105</v>
      </c>
      <c r="AL247" s="18" t="n">
        <f aca="false">ASIN((0.9983271+0.0016764*COS($A$4*2*$G$2))*COS($A$4*AK247)*SIN($A$4*AJ247))/$A$4</f>
        <v>0.562172206122628</v>
      </c>
      <c r="AM247" s="18" t="n">
        <f aca="false">AK247-AL247</f>
        <v>54.7400554202878</v>
      </c>
      <c r="AN247" s="10" t="n">
        <f aca="false"> IF(280.4664567 + 360007.6982779*M247/10 + 0.03032028*M247^2/100 + M247^3/49931000&lt;0,MOD(280.4664567 + 360007.6982779*M247/10 + 0.03032028*M247^2/100 + M247^3/49931000+360,360),MOD(280.4664567 + 360007.6982779*M247/10 + 0.03032028*M247^2/100 + M247^3/49931000,360))</f>
        <v>219.903014330515</v>
      </c>
      <c r="AO247" s="27" t="n">
        <f aca="false"> AN247 + (1.9146 - 0.004817*M247 - 0.000014*M247^2)*SIN(R247)+ (0.019993 - 0.000101*M247)*SIN(2*R247)+ 0.00029*SIN(3*R247)</f>
        <v>218.175664104435</v>
      </c>
      <c r="AP247" s="18" t="n">
        <f aca="false">ACOS(COS(X247-$A$4*AO247)*COS(Y247))/$A$4</f>
        <v>81.4675505078633</v>
      </c>
      <c r="AQ247" s="25" t="n">
        <f aca="false">180 - AP247 -0.1468*(1-0.0549*SIN(R247))*SIN($A$4*AP247)/(1-0.0167*SIN($A$4*AO247))</f>
        <v>98.3817018346637</v>
      </c>
      <c r="AR247" s="25" t="n">
        <f aca="false">SIN($A$4*AI247)</f>
        <v>-0.616535417150493</v>
      </c>
      <c r="AS247" s="25" t="n">
        <f aca="false">COS($A$4*AI247)*SIN($A$4*$G$2) - TAN($A$4*AG247)*COS($A$4*$G$2)</f>
        <v>0.12648054088011</v>
      </c>
      <c r="AT247" s="25" t="n">
        <f aca="false">IF(OR(AND(AR247*AS247&gt;0), AND(AR247&lt;0,AS247&gt;0)), MOD(ATAN2(AS247,AR247)/$A$4+360,360),  ATAN2(AS247,AR247)/$A$4)</f>
        <v>281.593222137284</v>
      </c>
      <c r="AU247" s="29" t="n">
        <f aca="false">(1+SIN($A$4*H247)*SIN($A$4*AJ247))*120*ASIN(0.272481*SIN($A$4*AJ247))/$A$4</f>
        <v>32.7622588695434</v>
      </c>
      <c r="AV247" s="10" t="n">
        <f aca="false">COS(X247)</f>
        <v>0.49407167096701</v>
      </c>
      <c r="AW247" s="10" t="n">
        <f aca="false">SIN(X247)</f>
        <v>-0.869421177535874</v>
      </c>
      <c r="AX247" s="30" t="n">
        <f aca="false"> 385000.56 + (-20905355*COS(Q247) - 3699111*COS(2*S247-Q247) - 2955968*COS(2*S247) - 569925*COS(2*Q247) + (1-0.002516*M247)*48888*COS(R247) - 3149*COS(2*T247)  +246158*COS(2*S247-2*Q247) -(1-0.002516*M247)*152138*COS(2*S247-R247-Q247) -170733*COS(2*S247+Q247) -(1-0.002516*M247)*204586*COS(2*S247-R247) -(1-0.002516*M247)*129620*COS(R247-Q247)  + 108743*COS(S247) +(1-0.002516*M247)*104755*COS(R247+Q247) +10321*COS(2*S247-2*T247) +79661*COS(Q247-2*T247) -34782*COS(4*S247-Q247) -23210*COS(3*Q247)  -21636*COS(4*S247-2*Q247) +(1-0.002516*M247)*24208*COS(2*S247+R247-Q247) +(1-0.002516*M247)*30824*COS(2*S247+R247) -8379*COS(S247-Q247) -(1-0.002516*M247)*16675*COS(S247+R247)  -(1-0.002516*M247)*12831*COS(2*S247-R247+Q247) -10445*COS(2*S247+2*Q247) -11650*COS(4*S247) +14403*COS(2*S247-3*Q247) -(1-0.002516*M247)*7003*COS(R247-2*Q247)  + (1-0.002516*M247)*10056*COS(2*S247-R247-2*Q247) +6322*COS(S247+Q247) -(1-0.002516*M247)*(1-0.002516*M247)*9884*COS(2*S247-2*R247) +(1-0.002516*M247)*5751*COS(R247+2*Q247) -(1-0.002516*M247)*(1-0.002516*M247)*4950*COS(2*S247-2*R247-Q247)  +4130*COS(2*S247+Q247-2*T247) -(1-0.002516*M247)*3958*COS(4*S247-R247-Q247) +3258*COS(3*S247-Q247) +(1-0.002516*M247)*2616*COS(2*S247+R247+Q247) -(1-0.002516*M247)*1897*COS(4*S247-R247-2*Q247)  -(1-0.002516*M247)*(1-0.002516*M247)*2117*COS(2*R247-Q247) +(1-0.002516*M247)*(1-0.002516*M247)*2354*COS(2*S247+2*R247-Q247) -1423*COS(4*S247+Q247) -1117*COS(4*Q247) -(1-0.002516*M247)*1571*COS(4*S247-R247)  -1739*COS(S247-2*Q247) -4421*COS(2*Q247-2*T247) +(1-0.002516*M247)*(1-0.002516*M247)*1165*COS(2*R247+Q247) +8752*COS(2*S247-Q247-2*T247))/1000</f>
        <v>369727.656457618</v>
      </c>
      <c r="AY247" s="10" t="n">
        <f aca="false">IF($A$7&gt;30,AY246+1/8,"")</f>
        <v>31.625</v>
      </c>
      <c r="AZ247" s="17" t="n">
        <f aca="false">AZ246+1</f>
        <v>246</v>
      </c>
      <c r="BA247" s="32" t="n">
        <f aca="false">ATAN(0.99664719*TAN($A$4*input!$E$2))</f>
        <v>-0.400219206115995</v>
      </c>
      <c r="BB247" s="32" t="n">
        <f aca="false">COS(BA247)</f>
        <v>0.920975608992155</v>
      </c>
      <c r="BC247" s="32" t="n">
        <f aca="false">0.99664719*SIN(BA247)</f>
        <v>-0.388313912533463</v>
      </c>
      <c r="BD247" s="32" t="n">
        <f aca="false">6378.14/AX247</f>
        <v>0.0172509139865525</v>
      </c>
      <c r="BE247" s="33" t="n">
        <f aca="false">MOD(N247-15*AH247,360)</f>
        <v>321.936428658158</v>
      </c>
      <c r="BF247" s="27" t="n">
        <f aca="false">COS($A$4*AG247)*SIN($A$4*BE247)</f>
        <v>-0.557634355851359</v>
      </c>
      <c r="BG247" s="27" t="n">
        <f aca="false">COS($A$4*AG247)*COS($A$4*BE247)-BB247*BD247</f>
        <v>0.696221754453755</v>
      </c>
      <c r="BH247" s="27" t="n">
        <f aca="false">SIN($A$4*AG247)-BC247*BD247</f>
        <v>-0.419850279248425</v>
      </c>
      <c r="BI247" s="46" t="n">
        <f aca="false">SQRT(BF247^2+BG247^2+BH247^2)</f>
        <v>0.985877813517175</v>
      </c>
      <c r="BJ247" s="35" t="n">
        <f aca="false">AX247*BI247</f>
        <v>364506.293545266</v>
      </c>
    </row>
    <row r="248" customFormat="false" ht="15" hidden="false" customHeight="false" outlineLevel="0" collapsed="false">
      <c r="C248" s="15" t="n">
        <f aca="false">MOD(C247+3,24)</f>
        <v>18</v>
      </c>
      <c r="D248" s="105" t="n">
        <v>31</v>
      </c>
      <c r="E248" s="102" t="n">
        <f aca="false">input!$C$2</f>
        <v>10</v>
      </c>
      <c r="F248" s="102" t="n">
        <f aca="false">input!$D$2</f>
        <v>2022</v>
      </c>
      <c r="H248" s="39" t="n">
        <f aca="false">AM248</f>
        <v>84.8433083588912</v>
      </c>
      <c r="I248" s="48" t="n">
        <f aca="false">H248+1.02/(TAN($A$4*(H248+10.3/(H248+5.11)))*60)</f>
        <v>84.8448082801673</v>
      </c>
      <c r="J248" s="39" t="n">
        <f aca="false">100*(1+COS($A$4*AQ248))/2</f>
        <v>44.1344089351461</v>
      </c>
      <c r="K248" s="48" t="n">
        <f aca="false">IF(AI248&gt;180,AT248-180,AT248+180)</f>
        <v>247.079497506435</v>
      </c>
      <c r="L248" s="10" t="n">
        <f aca="false">L247+1/8</f>
        <v>2459884.25</v>
      </c>
      <c r="M248" s="49" t="n">
        <f aca="false">(L248-2451545)/36525</f>
        <v>0.228316221765914</v>
      </c>
      <c r="N248" s="15" t="n">
        <f aca="false">MOD(280.46061837+360.98564736629*(L248-2451545)+0.000387933*M248^2-M248^3/38710000+$G$4,360)</f>
        <v>310.020437925588</v>
      </c>
      <c r="O248" s="18" t="n">
        <f aca="false">0.60643382+1336.85522467*M248 - 0.00000313*M248^2 - INT(0.60643382+1336.85522467*M248 - 0.00000313*M248^2)</f>
        <v>0.832167601514641</v>
      </c>
      <c r="P248" s="15" t="n">
        <f aca="false">22640*SIN(Q248)-4586*SIN(Q248-2*S248)+2370*SIN(2*S248)+769*SIN(2*Q248)-668*SIN(R248)-412*SIN(2*T248)-212*SIN(2*Q248-2*S248)-206*SIN(Q248+R248-2*S248)+192*SIN(Q248+2*S248)-165*SIN(R248-2*S248)-125*SIN(S248)-110*SIN(Q248+R248)+148*SIN(Q248-R248)-55*SIN(2*T248-2*S248)</f>
        <v>6493.35486244623</v>
      </c>
      <c r="Q248" s="18" t="n">
        <f aca="false">2*PI()*(0.374897+1325.55241*M248 - INT(0.374897+1325.55241*M248))</f>
        <v>0.125757978436725</v>
      </c>
      <c r="R248" s="26" t="n">
        <f aca="false">2*PI()*(0.99312619+99.99735956*M248 - 0.00000044*M248^2 - INT(0.99312619+99.99735956*M248- 0.00000044*M248^2))</f>
        <v>5.17825882350681</v>
      </c>
      <c r="S248" s="26" t="n">
        <f aca="false">2*PI()*(0.827361+1236.853086*M248 - INT(0.827361+1236.853086*M248))</f>
        <v>1.38848640662852</v>
      </c>
      <c r="T248" s="26" t="n">
        <f aca="false">2*PI()*(0.259086+1342.227825*M248 - INT(0.259086+1342.227825*M248))</f>
        <v>4.47030886542622</v>
      </c>
      <c r="U248" s="26" t="n">
        <f aca="false">T248+(P248+412*SIN(2*T248)+541*SIN(R248))/206264.8062</f>
        <v>4.50037594475795</v>
      </c>
      <c r="V248" s="26" t="n">
        <f aca="false">T248-2*S248</f>
        <v>1.69333605216918</v>
      </c>
      <c r="W248" s="25" t="n">
        <f aca="false">-526*SIN(V248)+44*SIN(Q248+V248)-31*SIN(-Q248+V248)-23*SIN(R248+V248)+11*SIN(-R248+V248)-25*SIN(-2*Q248+T248)+21*SIN(-Q248+T248)</f>
        <v>-517.047356000948</v>
      </c>
      <c r="X248" s="26" t="n">
        <f aca="false">2*PI()*(O248+P248/1296000-INT(O248+P248/1296000))</f>
        <v>5.2601439196838</v>
      </c>
      <c r="Y248" s="26" t="n">
        <f aca="false">(18520*SIN(U248)+W248)/206264.8062</f>
        <v>-0.090283804900878</v>
      </c>
      <c r="Z248" s="26" t="n">
        <f aca="false">Y248*180/PI()</f>
        <v>-5.17288097920285</v>
      </c>
      <c r="AA248" s="26" t="n">
        <f aca="false">COS(Y248)*COS(X248)</f>
        <v>0.518650936166917</v>
      </c>
      <c r="AB248" s="26" t="n">
        <f aca="false">COS(Y248)*SIN(X248)</f>
        <v>-0.850218891871807</v>
      </c>
      <c r="AC248" s="26" t="n">
        <f aca="false">SIN(Y248)</f>
        <v>-0.0901612018412444</v>
      </c>
      <c r="AD248" s="26" t="n">
        <f aca="false">COS($A$4*(23.4393-46.815*M248/3600))*AB248-SIN($A$4*(23.4393-46.815*M248/3600))*AC248</f>
        <v>-0.744218261368102</v>
      </c>
      <c r="AE248" s="26" t="n">
        <f aca="false">SIN($A$4*(23.4393-46.815*M248/3600))*AB248+COS($A$4*(23.4393-46.815*M248/3600))*AC248</f>
        <v>-0.420880488808188</v>
      </c>
      <c r="AF248" s="26" t="n">
        <f aca="false">SQRT(1-AE248*AE248)</f>
        <v>0.90711609738808</v>
      </c>
      <c r="AG248" s="10" t="n">
        <f aca="false">ATAN(AE248/AF248)/$A$4</f>
        <v>-24.8901889126282</v>
      </c>
      <c r="AH248" s="26" t="n">
        <f aca="false">IF(24*ATAN(AD248/(AA248+AF248))/PI()&gt;0,24*ATAN(AD248/(AA248+AF248))/PI(),24*ATAN(AD248/(AA248+AF248))/PI()+24)</f>
        <v>20.324860769012</v>
      </c>
      <c r="AI248" s="10" t="n">
        <f aca="false">IF(N248-15*AH248&gt;0,N248-15*AH248,360+N248-15*AH248)</f>
        <v>5.14752639040887</v>
      </c>
      <c r="AJ248" s="18" t="n">
        <f aca="false">0.950724+0.051818*COS(Q248)+0.009531*COS(2*S248-Q248)+0.007843*COS(2*S248)+0.002824*COS(2*Q248)+0.000857*COS(2*S248+Q248)+0.000533*COS(2*S248-R248)+0.000401*COS(2*S248-R248-Q248)+0.00032*COS(Q248-R248)-0.000271*COS(S248)</f>
        <v>0.98763654277584</v>
      </c>
      <c r="AK248" s="50" t="n">
        <f aca="false">ASIN(COS($A$4*$G$2)*COS($A$4*AG248)*COS($A$4*AI248)+SIN($A$4*$G$2)*SIN($A$4*AG248))/$A$4</f>
        <v>84.9305307594324</v>
      </c>
      <c r="AL248" s="18" t="n">
        <f aca="false">ASIN((0.9983271+0.0016764*COS($A$4*2*$G$2))*COS($A$4*AK248)*SIN($A$4*AJ248))/$A$4</f>
        <v>0.0872224005412168</v>
      </c>
      <c r="AM248" s="18" t="n">
        <f aca="false">AK248-AL248</f>
        <v>84.8433083588912</v>
      </c>
      <c r="AN248" s="10" t="n">
        <f aca="false"> IF(280.4664567 + 360007.6982779*M248/10 + 0.03032028*M248^2/100 + M248^3/49931000&lt;0,MOD(280.4664567 + 360007.6982779*M248/10 + 0.03032028*M248^2/100 + M248^3/49931000+360,360),MOD(280.4664567 + 360007.6982779*M248/10 + 0.03032028*M248^2/100 + M248^3/49931000,360))</f>
        <v>220.026220251002</v>
      </c>
      <c r="AO248" s="27" t="n">
        <f aca="false"> AN248 + (1.9146 - 0.004817*M248 - 0.000014*M248^2)*SIN(R248)+ (0.019993 - 0.000101*M248)*SIN(2*R248)+ 0.00029*SIN(3*R248)</f>
        <v>218.300661105759</v>
      </c>
      <c r="AP248" s="18" t="n">
        <f aca="false">ACOS(COS(X248-$A$4*AO248)*COS(Y248))/$A$4</f>
        <v>83.111692010822</v>
      </c>
      <c r="AQ248" s="25" t="n">
        <f aca="false">180 - AP248 -0.1468*(1-0.0549*SIN(R248))*SIN($A$4*AP248)/(1-0.0167*SIN($A$4*AO248))</f>
        <v>96.7369854003953</v>
      </c>
      <c r="AR248" s="25" t="n">
        <f aca="false">SIN($A$4*AI248)</f>
        <v>0.0897204742792023</v>
      </c>
      <c r="AS248" s="25" t="n">
        <f aca="false">COS($A$4*AI248)*SIN($A$4*$G$2) - TAN($A$4*AG248)*COS($A$4*$G$2)</f>
        <v>0.0379372518149896</v>
      </c>
      <c r="AT248" s="25" t="n">
        <f aca="false">IF(OR(AND(AR248*AS248&gt;0), AND(AR248&lt;0,AS248&gt;0)), MOD(ATAN2(AS248,AR248)/$A$4+360,360),  ATAN2(AS248,AR248)/$A$4)</f>
        <v>67.0794975064351</v>
      </c>
      <c r="AU248" s="29" t="n">
        <f aca="false">(1+SIN($A$4*H248)*SIN($A$4*AJ248))*120*ASIN(0.272481*SIN($A$4*AJ248))/$A$4</f>
        <v>32.8463356432781</v>
      </c>
      <c r="AV248" s="10" t="n">
        <f aca="false">COS(X248)</f>
        <v>0.52077194398844</v>
      </c>
      <c r="AW248" s="10" t="n">
        <f aca="false">SIN(X248)</f>
        <v>-0.853695837142539</v>
      </c>
      <c r="AX248" s="30" t="n">
        <f aca="false"> 385000.56 + (-20905355*COS(Q248) - 3699111*COS(2*S248-Q248) - 2955968*COS(2*S248) - 569925*COS(2*Q248) + (1-0.002516*M248)*48888*COS(R248) - 3149*COS(2*T248)  +246158*COS(2*S248-2*Q248) -(1-0.002516*M248)*152138*COS(2*S248-R248-Q248) -170733*COS(2*S248+Q248) -(1-0.002516*M248)*204586*COS(2*S248-R248) -(1-0.002516*M248)*129620*COS(R248-Q248)  + 108743*COS(S248) +(1-0.002516*M248)*104755*COS(R248+Q248) +10321*COS(2*S248-2*T248) +79661*COS(Q248-2*T248) -34782*COS(4*S248-Q248) -23210*COS(3*Q248)  -21636*COS(4*S248-2*Q248) +(1-0.002516*M248)*24208*COS(2*S248+R248-Q248) +(1-0.002516*M248)*30824*COS(2*S248+R248) -8379*COS(S248-Q248) -(1-0.002516*M248)*16675*COS(S248+R248)  -(1-0.002516*M248)*12831*COS(2*S248-R248+Q248) -10445*COS(2*S248+2*Q248) -11650*COS(4*S248) +14403*COS(2*S248-3*Q248) -(1-0.002516*M248)*7003*COS(R248-2*Q248)  + (1-0.002516*M248)*10056*COS(2*S248-R248-2*Q248) +6322*COS(S248+Q248) -(1-0.002516*M248)*(1-0.002516*M248)*9884*COS(2*S248-2*R248) +(1-0.002516*M248)*5751*COS(R248+2*Q248) -(1-0.002516*M248)*(1-0.002516*M248)*4950*COS(2*S248-2*R248-Q248)  +4130*COS(2*S248+Q248-2*T248) -(1-0.002516*M248)*3958*COS(4*S248-R248-Q248) +3258*COS(3*S248-Q248) +(1-0.002516*M248)*2616*COS(2*S248+R248+Q248) -(1-0.002516*M248)*1897*COS(4*S248-R248-2*Q248)  -(1-0.002516*M248)*(1-0.002516*M248)*2117*COS(2*R248-Q248) +(1-0.002516*M248)*(1-0.002516*M248)*2354*COS(2*S248+2*R248-Q248) -1423*COS(4*S248+Q248) -1117*COS(4*Q248) -(1-0.002516*M248)*1571*COS(4*S248-R248)  -1739*COS(S248-2*Q248) -4421*COS(2*Q248-2*T248) +(1-0.002516*M248)*(1-0.002516*M248)*1165*COS(2*R248+Q248) +8752*COS(2*S248-Q248-2*T248))/1000</f>
        <v>369896.506399562</v>
      </c>
      <c r="AY248" s="10" t="n">
        <f aca="false">IF($A$7&gt;30,AY247+1/8,"")</f>
        <v>31.75</v>
      </c>
      <c r="AZ248" s="17" t="n">
        <f aca="false">AZ247+1</f>
        <v>247</v>
      </c>
      <c r="BA248" s="32" t="n">
        <f aca="false">ATAN(0.99664719*TAN($A$4*input!$E$2))</f>
        <v>-0.400219206115995</v>
      </c>
      <c r="BB248" s="32" t="n">
        <f aca="false">COS(BA248)</f>
        <v>0.920975608992155</v>
      </c>
      <c r="BC248" s="32" t="n">
        <f aca="false">0.99664719*SIN(BA248)</f>
        <v>-0.388313912533463</v>
      </c>
      <c r="BD248" s="32" t="n">
        <f aca="false">6378.14/AX248</f>
        <v>0.0172430393087042</v>
      </c>
      <c r="BE248" s="33" t="n">
        <f aca="false">MOD(N248-15*AH248,360)</f>
        <v>5.14752639040887</v>
      </c>
      <c r="BF248" s="27" t="n">
        <f aca="false">COS($A$4*AG248)*SIN($A$4*BE248)</f>
        <v>0.0813868864839576</v>
      </c>
      <c r="BG248" s="27" t="n">
        <f aca="false">COS($A$4*AG248)*COS($A$4*BE248)-BB248*BD248</f>
        <v>0.887577266517602</v>
      </c>
      <c r="BH248" s="27" t="n">
        <f aca="false">SIN($A$4*AG248)-BC248*BD248</f>
        <v>-0.414184776750256</v>
      </c>
      <c r="BI248" s="46" t="n">
        <f aca="false">SQRT(BF248^2+BG248^2+BH248^2)</f>
        <v>0.982835824856863</v>
      </c>
      <c r="BJ248" s="35" t="n">
        <f aca="false">AX248*BI248</f>
        <v>363547.537978885</v>
      </c>
    </row>
    <row r="249" customFormat="false" ht="15" hidden="false" customHeight="false" outlineLevel="0" collapsed="false">
      <c r="C249" s="15" t="n">
        <f aca="false">MOD(C248+3,24)</f>
        <v>21</v>
      </c>
      <c r="D249" s="105" t="n">
        <v>31</v>
      </c>
      <c r="E249" s="102" t="n">
        <f aca="false">input!$C$2</f>
        <v>10</v>
      </c>
      <c r="F249" s="102" t="n">
        <f aca="false">input!$D$2</f>
        <v>2022</v>
      </c>
      <c r="H249" s="39" t="n">
        <f aca="false">AM249</f>
        <v>45.2423193175788</v>
      </c>
      <c r="I249" s="48" t="n">
        <f aca="false">H249+1.02/(TAN($A$4*(H249+10.3/(H249+5.11)))*60)</f>
        <v>45.2590561818725</v>
      </c>
      <c r="J249" s="39" t="n">
        <f aca="false">100*(1+COS($A$4*AQ249))/2</f>
        <v>45.5602752890168</v>
      </c>
      <c r="K249" s="48" t="n">
        <f aca="false">IF(AI249&gt;180,AT249-180,AT249+180)</f>
        <v>257.911258313193</v>
      </c>
      <c r="L249" s="10" t="n">
        <f aca="false">L248+1/8</f>
        <v>2459884.375</v>
      </c>
      <c r="M249" s="49" t="n">
        <f aca="false">(L249-2451545)/36525</f>
        <v>0.228319644079398</v>
      </c>
      <c r="N249" s="15" t="n">
        <f aca="false">MOD(280.46061837+360.98564736629*(L249-2451545)+0.000387933*M249^2-M249^3/38710000+$G$4,360)</f>
        <v>355.143643847201</v>
      </c>
      <c r="O249" s="18" t="n">
        <f aca="false">0.60643382+1336.85522467*M249 - 0.00000313*M249^2 - INT(0.60643382+1336.85522467*M249 - 0.00000313*M249^2)</f>
        <v>0.836742739171143</v>
      </c>
      <c r="P249" s="15" t="n">
        <f aca="false">22640*SIN(Q249)-4586*SIN(Q249-2*S249)+2370*SIN(2*S249)+769*SIN(2*Q249)-668*SIN(R249)-412*SIN(2*T249)-212*SIN(2*Q249-2*S249)-206*SIN(Q249+R249-2*S249)+192*SIN(Q249+2*S249)-165*SIN(R249-2*S249)-125*SIN(S249)-110*SIN(Q249+R249)+148*SIN(Q249-R249)-55*SIN(2*T249-2*S249)</f>
        <v>6949.69876240396</v>
      </c>
      <c r="Q249" s="18" t="n">
        <f aca="false">2*PI()*(0.374897+1325.55241*M249 - INT(0.374897+1325.55241*M249))</f>
        <v>0.154261371408524</v>
      </c>
      <c r="R249" s="26" t="n">
        <f aca="false">2*PI()*(0.99312619+99.99735956*M249 - 0.00000044*M249^2 - INT(0.99312619+99.99735956*M249- 0.00000044*M249^2))</f>
        <v>5.18040906970489</v>
      </c>
      <c r="S249" s="26" t="n">
        <f aca="false">2*PI()*(0.827361+1236.853086*M249 - INT(0.827361+1236.853086*M249))</f>
        <v>1.41508249539344</v>
      </c>
      <c r="T249" s="26" t="n">
        <f aca="false">2*PI()*(0.259086+1342.227825*M249 - INT(0.259086+1342.227825*M249))</f>
        <v>4.49917083034362</v>
      </c>
      <c r="U249" s="26" t="n">
        <f aca="false">T249+(P249+412*SIN(2*T249)+541*SIN(R249))/206264.8062</f>
        <v>4.53134932644581</v>
      </c>
      <c r="V249" s="26" t="n">
        <f aca="false">T249-2*S249</f>
        <v>1.66900583955674</v>
      </c>
      <c r="W249" s="25" t="n">
        <f aca="false">-526*SIN(V249)+44*SIN(Q249+V249)-31*SIN(-Q249+V249)-23*SIN(R249+V249)+11*SIN(-R249+V249)-25*SIN(-2*Q249+T249)+21*SIN(-Q249+T249)</f>
        <v>-518.098314653531</v>
      </c>
      <c r="X249" s="26" t="n">
        <f aca="false">2*PI()*(O249+P249/1296000-INT(O249+P249/1296000))</f>
        <v>5.29110277504536</v>
      </c>
      <c r="Y249" s="26" t="n">
        <f aca="false">(18520*SIN(U249)+W249)/206264.8062</f>
        <v>-0.0908319111642489</v>
      </c>
      <c r="Z249" s="26" t="n">
        <f aca="false">Y249*180/PI()</f>
        <v>-5.20428515481869</v>
      </c>
      <c r="AA249" s="26" t="n">
        <f aca="false">COS(Y249)*COS(X249)</f>
        <v>0.544692893709279</v>
      </c>
      <c r="AB249" s="26" t="n">
        <f aca="false">COS(Y249)*SIN(X249)</f>
        <v>-0.833715707186744</v>
      </c>
      <c r="AC249" s="26" t="n">
        <f aca="false">SIN(Y249)</f>
        <v>-0.0907070621986987</v>
      </c>
      <c r="AD249" s="26" t="n">
        <f aca="false">COS($A$4*(23.4393-46.815*M249/3600))*AB249-SIN($A$4*(23.4393-46.815*M249/3600))*AC249</f>
        <v>-0.728859441731295</v>
      </c>
      <c r="AE249" s="26" t="n">
        <f aca="false">SIN($A$4*(23.4393-46.815*M249/3600))*AB249+COS($A$4*(23.4393-46.815*M249/3600))*AC249</f>
        <v>-0.414817508962384</v>
      </c>
      <c r="AF249" s="26" t="n">
        <f aca="false">SQRT(1-AE249*AE249)</f>
        <v>0.90990462921025</v>
      </c>
      <c r="AG249" s="10" t="n">
        <f aca="false">ATAN(AE249/AF249)/$A$4</f>
        <v>-24.5078246807815</v>
      </c>
      <c r="AH249" s="26" t="n">
        <f aca="false">IF(24*ATAN(AD249/(AA249+AF249))/PI()&gt;0,24*ATAN(AD249/(AA249+AF249))/PI(),24*ATAN(AD249/(AA249+AF249))/PI()+24)</f>
        <v>20.451438730245</v>
      </c>
      <c r="AI249" s="10" t="n">
        <f aca="false">IF(N249-15*AH249&gt;0,N249-15*AH249,360+N249-15*AH249)</f>
        <v>48.3720628935254</v>
      </c>
      <c r="AJ249" s="18" t="n">
        <f aca="false">0.950724+0.051818*COS(Q249)+0.009531*COS(2*S249-Q249)+0.007843*COS(2*S249)+0.002824*COS(2*Q249)+0.000857*COS(2*S249+Q249)+0.000533*COS(2*S249-R249)+0.000401*COS(2*S249-R249-Q249)+0.00032*COS(Q249-R249)-0.000271*COS(S249)</f>
        <v>0.987148863711459</v>
      </c>
      <c r="AK249" s="50" t="n">
        <f aca="false">ASIN(COS($A$4*$G$2)*COS($A$4*AG249)*COS($A$4*AI249)+SIN($A$4*$G$2)*SIN($A$4*AG249))/$A$4</f>
        <v>45.9285686879764</v>
      </c>
      <c r="AL249" s="18" t="n">
        <f aca="false">ASIN((0.9983271+0.0016764*COS($A$4*2*$G$2))*COS($A$4*AK249)*SIN($A$4*AJ249))/$A$4</f>
        <v>0.686249370397656</v>
      </c>
      <c r="AM249" s="18" t="n">
        <f aca="false">AK249-AL249</f>
        <v>45.2423193175788</v>
      </c>
      <c r="AN249" s="10" t="n">
        <f aca="false"> IF(280.4664567 + 360007.6982779*M249/10 + 0.03032028*M249^2/100 + M249^3/49931000&lt;0,MOD(280.4664567 + 360007.6982779*M249/10 + 0.03032028*M249^2/100 + M249^3/49931000+360,360),MOD(280.4664567 + 360007.6982779*M249/10 + 0.03032028*M249^2/100 + M249^3/49931000,360))</f>
        <v>220.149426171489</v>
      </c>
      <c r="AO249" s="27" t="n">
        <f aca="false"> AN249 + (1.9146 - 0.004817*M249 - 0.000014*M249^2)*SIN(R249)+ (0.019993 - 0.000101*M249)*SIN(2*R249)+ 0.00029*SIN(3*R249)</f>
        <v>218.425666305759</v>
      </c>
      <c r="AP249" s="18" t="n">
        <f aca="false">ACOS(COS(X249-$A$4*AO249)*COS(Y249))/$A$4</f>
        <v>84.7539686109232</v>
      </c>
      <c r="AQ249" s="25" t="n">
        <f aca="false">180 - AP249 -0.1468*(1-0.0549*SIN(R249))*SIN($A$4*AP249)/(1-0.0167*SIN($A$4*AO249))</f>
        <v>95.0942590269768</v>
      </c>
      <c r="AR249" s="25" t="n">
        <f aca="false">SIN($A$4*AI249)</f>
        <v>0.74747427485344</v>
      </c>
      <c r="AS249" s="25" t="n">
        <f aca="false">COS($A$4*AI249)*SIN($A$4*$G$2) - TAN($A$4*AG249)*COS($A$4*$G$2)</f>
        <v>0.160090981147041</v>
      </c>
      <c r="AT249" s="25" t="n">
        <f aca="false">IF(OR(AND(AR249*AS249&gt;0), AND(AR249&lt;0,AS249&gt;0)), MOD(ATAN2(AS249,AR249)/$A$4+360,360),  ATAN2(AS249,AR249)/$A$4)</f>
        <v>77.9112583131925</v>
      </c>
      <c r="AU249" s="29" t="n">
        <f aca="false">(1+SIN($A$4*H249)*SIN($A$4*AJ249))*120*ASIN(0.272481*SIN($A$4*AJ249))/$A$4</f>
        <v>32.6708894109664</v>
      </c>
      <c r="AV249" s="10" t="n">
        <f aca="false">COS(X249)</f>
        <v>0.54694762105748</v>
      </c>
      <c r="AW249" s="10" t="n">
        <f aca="false">SIN(X249)</f>
        <v>-0.837166829144325</v>
      </c>
      <c r="AX249" s="30" t="n">
        <f aca="false"> 385000.56 + (-20905355*COS(Q249) - 3699111*COS(2*S249-Q249) - 2955968*COS(2*S249) - 569925*COS(2*Q249) + (1-0.002516*M249)*48888*COS(R249) - 3149*COS(2*T249)  +246158*COS(2*S249-2*Q249) -(1-0.002516*M249)*152138*COS(2*S249-R249-Q249) -170733*COS(2*S249+Q249) -(1-0.002516*M249)*204586*COS(2*S249-R249) -(1-0.002516*M249)*129620*COS(R249-Q249)  + 108743*COS(S249) +(1-0.002516*M249)*104755*COS(R249+Q249) +10321*COS(2*S249-2*T249) +79661*COS(Q249-2*T249) -34782*COS(4*S249-Q249) -23210*COS(3*Q249)  -21636*COS(4*S249-2*Q249) +(1-0.002516*M249)*24208*COS(2*S249+R249-Q249) +(1-0.002516*M249)*30824*COS(2*S249+R249) -8379*COS(S249-Q249) -(1-0.002516*M249)*16675*COS(S249+R249)  -(1-0.002516*M249)*12831*COS(2*S249-R249+Q249) -10445*COS(2*S249+2*Q249) -11650*COS(4*S249) +14403*COS(2*S249-3*Q249) -(1-0.002516*M249)*7003*COS(R249-2*Q249)  + (1-0.002516*M249)*10056*COS(2*S249-R249-2*Q249) +6322*COS(S249+Q249) -(1-0.002516*M249)*(1-0.002516*M249)*9884*COS(2*S249-2*R249) +(1-0.002516*M249)*5751*COS(R249+2*Q249) -(1-0.002516*M249)*(1-0.002516*M249)*4950*COS(2*S249-2*R249-Q249)  +4130*COS(2*S249+Q249-2*T249) -(1-0.002516*M249)*3958*COS(4*S249-R249-Q249) +3258*COS(3*S249-Q249) +(1-0.002516*M249)*2616*COS(2*S249+R249+Q249) -(1-0.002516*M249)*1897*COS(4*S249-R249-2*Q249)  -(1-0.002516*M249)*(1-0.002516*M249)*2117*COS(2*R249-Q249) +(1-0.002516*M249)*(1-0.002516*M249)*2354*COS(2*S249+2*R249-Q249) -1423*COS(4*S249+Q249) -1117*COS(4*Q249) -(1-0.002516*M249)*1571*COS(4*S249-R249)  -1739*COS(S249-2*Q249) -4421*COS(2*Q249-2*T249) +(1-0.002516*M249)*(1-0.002516*M249)*1165*COS(2*R249+Q249) +8752*COS(2*S249-Q249-2*T249))/1000</f>
        <v>370072.993496181</v>
      </c>
      <c r="AY249" s="10" t="n">
        <f aca="false">IF($A$7&gt;30,AY248+1/8,"")</f>
        <v>31.875</v>
      </c>
      <c r="AZ249" s="17" t="n">
        <f aca="false">AZ248+1</f>
        <v>248</v>
      </c>
      <c r="BA249" s="32" t="n">
        <f aca="false">ATAN(0.99664719*TAN($A$4*input!$E$2))</f>
        <v>-0.400219206115995</v>
      </c>
      <c r="BB249" s="32" t="n">
        <f aca="false">COS(BA249)</f>
        <v>0.920975608992155</v>
      </c>
      <c r="BC249" s="32" t="n">
        <f aca="false">0.99664719*SIN(BA249)</f>
        <v>-0.388313912533463</v>
      </c>
      <c r="BD249" s="32" t="n">
        <f aca="false">6378.14/AX249</f>
        <v>0.0172348161365248</v>
      </c>
      <c r="BE249" s="33" t="n">
        <f aca="false">MOD(N249-15*AH249,360)</f>
        <v>48.3720628935254</v>
      </c>
      <c r="BF249" s="27" t="n">
        <f aca="false">COS($A$4*AG249)*SIN($A$4*BE249)</f>
        <v>0.68013030290472</v>
      </c>
      <c r="BG249" s="27" t="n">
        <f aca="false">COS($A$4*AG249)*COS($A$4*BE249)-BB249*BD249</f>
        <v>0.588568388687595</v>
      </c>
      <c r="BH249" s="27" t="n">
        <f aca="false">SIN($A$4*AG249)-BC249*BD249</f>
        <v>-0.408124990076615</v>
      </c>
      <c r="BI249" s="46" t="n">
        <f aca="false">SQRT(BF249^2+BG249^2+BH249^2)</f>
        <v>0.987702376536887</v>
      </c>
      <c r="BJ249" s="35" t="n">
        <f aca="false">AX249*BI249</f>
        <v>365521.975168298</v>
      </c>
    </row>
    <row r="250" customFormat="false" ht="15" hidden="false" customHeight="false" outlineLevel="0" collapsed="false">
      <c r="C250" s="15" t="n">
        <f aca="false">MOD(C249+3,24)</f>
        <v>0</v>
      </c>
      <c r="D250" s="36" t="n">
        <v>32</v>
      </c>
      <c r="E250" s="102" t="n">
        <f aca="false">input!$C$2</f>
        <v>10</v>
      </c>
      <c r="F250" s="102" t="n">
        <f aca="false">input!$D$2</f>
        <v>2022</v>
      </c>
      <c r="H250" s="39" t="n">
        <f aca="false">AM250</f>
        <v>6.83638853000058</v>
      </c>
      <c r="I250" s="48" t="n">
        <f aca="false">H250+1.02/(TAN($A$4*(H250+10.3/(H250+5.11)))*60)</f>
        <v>6.96214681781475</v>
      </c>
      <c r="J250" s="39" t="n">
        <f aca="false">100*(1+COS($A$4*AQ250))/2</f>
        <v>46.9880307774761</v>
      </c>
      <c r="K250" s="48" t="n">
        <f aca="false">IF(AI250&gt;180,AT250-180,AT250+180)</f>
        <v>247.073842399867</v>
      </c>
      <c r="L250" s="10" t="n">
        <f aca="false">L249+1/8</f>
        <v>2459884.5</v>
      </c>
      <c r="M250" s="49" t="n">
        <f aca="false">(L250-2451545)/36525</f>
        <v>0.228323066392882</v>
      </c>
      <c r="N250" s="15" t="n">
        <f aca="false">MOD(280.46061837+360.98564736629*(L250-2451545)+0.000387933*M250^2-M250^3/38710000+$G$4,360)</f>
        <v>40.2668497688137</v>
      </c>
      <c r="O250" s="18" t="n">
        <f aca="false">0.60643382+1336.85522467*M250 - 0.00000313*M250^2 - INT(0.60643382+1336.85522467*M250 - 0.00000313*M250^2)</f>
        <v>0.841317876827702</v>
      </c>
      <c r="P250" s="15" t="n">
        <f aca="false">22640*SIN(Q250)-4586*SIN(Q250-2*S250)+2370*SIN(2*S250)+769*SIN(2*Q250)-668*SIN(R250)-412*SIN(2*T250)-212*SIN(2*Q250-2*S250)-206*SIN(Q250+R250-2*S250)+192*SIN(Q250+2*S250)-165*SIN(R250-2*S250)-125*SIN(S250)-110*SIN(Q250+R250)+148*SIN(Q250-R250)-55*SIN(2*T250-2*S250)</f>
        <v>7399.78468963609</v>
      </c>
      <c r="Q250" s="18" t="n">
        <f aca="false">2*PI()*(0.374897+1325.55241*M250 - INT(0.374897+1325.55241*M250))</f>
        <v>0.182764764380323</v>
      </c>
      <c r="R250" s="26" t="n">
        <f aca="false">2*PI()*(0.99312619+99.99735956*M250 - 0.00000044*M250^2 - INT(0.99312619+99.99735956*M250- 0.00000044*M250^2))</f>
        <v>5.18255931590297</v>
      </c>
      <c r="S250" s="26" t="n">
        <f aca="false">2*PI()*(0.827361+1236.853086*M250 - INT(0.827361+1236.853086*M250))</f>
        <v>1.44167858415801</v>
      </c>
      <c r="T250" s="26" t="n">
        <f aca="false">2*PI()*(0.259086+1342.227825*M250 - INT(0.259086+1342.227825*M250))</f>
        <v>4.52803279526138</v>
      </c>
      <c r="U250" s="26" t="n">
        <f aca="false">T250+(P250+412*SIN(2*T250)+541*SIN(R250))/206264.8062</f>
        <v>4.56228962728604</v>
      </c>
      <c r="V250" s="26" t="n">
        <f aca="false">T250-2*S250</f>
        <v>1.64467562694536</v>
      </c>
      <c r="W250" s="25" t="n">
        <f aca="false">-526*SIN(V250)+44*SIN(Q250+V250)-31*SIN(-Q250+V250)-23*SIN(R250+V250)+11*SIN(-R250+V250)-25*SIN(-2*Q250+T250)+21*SIN(-Q250+T250)</f>
        <v>-518.767666256808</v>
      </c>
      <c r="X250" s="26" t="n">
        <f aca="false">2*PI()*(O250+P250/1296000-INT(O250+P250/1296000))</f>
        <v>5.32203129089935</v>
      </c>
      <c r="Y250" s="26" t="n">
        <f aca="false">(18520*SIN(U250)+W250)/206264.8062</f>
        <v>-0.0912930000861797</v>
      </c>
      <c r="Z250" s="26" t="n">
        <f aca="false">Y250*180/PI()</f>
        <v>-5.23070360402556</v>
      </c>
      <c r="AA250" s="26" t="n">
        <f aca="false">COS(Y250)*COS(X250)</f>
        <v>0.57018986591872</v>
      </c>
      <c r="AB250" s="26" t="n">
        <f aca="false">COS(Y250)*SIN(X250)</f>
        <v>-0.816438750528412</v>
      </c>
      <c r="AC250" s="26" t="n">
        <f aca="false">SIN(Y250)</f>
        <v>-0.0911662406771203</v>
      </c>
      <c r="AD250" s="26" t="n">
        <f aca="false">COS($A$4*(23.4393-46.815*M250/3600))*AB250-SIN($A$4*(23.4393-46.815*M250/3600))*AC250</f>
        <v>-0.712825160240383</v>
      </c>
      <c r="AE250" s="26" t="n">
        <f aca="false">SIN($A$4*(23.4393-46.815*M250/3600))*AB250+COS($A$4*(23.4393-46.815*M250/3600))*AC250</f>
        <v>-0.408367246154567</v>
      </c>
      <c r="AF250" s="26" t="n">
        <f aca="false">SQRT(1-AE250*AE250)</f>
        <v>0.912817721271961</v>
      </c>
      <c r="AG250" s="10" t="n">
        <f aca="false">ATAN(AE250/AF250)/$A$4</f>
        <v>-24.1023089500807</v>
      </c>
      <c r="AH250" s="26" t="n">
        <f aca="false">IF(24*ATAN(AD250/(AA250+AF250))/PI()&gt;0,24*ATAN(AD250/(AA250+AF250))/PI(),24*ATAN(AD250/(AA250+AF250))/PI()+24)</f>
        <v>20.5770909631181</v>
      </c>
      <c r="AI250" s="10" t="n">
        <f aca="false">IF(N250-15*AH250&gt;0,N250-15*AH250,360+N250-15*AH250)</f>
        <v>91.6104853220425</v>
      </c>
      <c r="AJ250" s="18" t="n">
        <f aca="false">0.950724+0.051818*COS(Q250)+0.009531*COS(2*S250-Q250)+0.007843*COS(2*S250)+0.002824*COS(2*Q250)+0.000857*COS(2*S250+Q250)+0.000533*COS(2*S250-R250)+0.000401*COS(2*S250-R250-Q250)+0.00032*COS(Q250-R250)-0.000271*COS(S250)</f>
        <v>0.986643902540296</v>
      </c>
      <c r="AK250" s="50" t="n">
        <f aca="false">ASIN(COS($A$4*$G$2)*COS($A$4*AG250)*COS($A$4*AI250)+SIN($A$4*$G$2)*SIN($A$4*AG250))/$A$4</f>
        <v>7.81337469300944</v>
      </c>
      <c r="AL250" s="18" t="n">
        <f aca="false">ASIN((0.9983271+0.0016764*COS($A$4*2*$G$2))*COS($A$4*AK250)*SIN($A$4*AJ250))/$A$4</f>
        <v>0.976986163008859</v>
      </c>
      <c r="AM250" s="18" t="n">
        <f aca="false">AK250-AL250</f>
        <v>6.83638853000058</v>
      </c>
      <c r="AN250" s="10" t="n">
        <f aca="false"> IF(280.4664567 + 360007.6982779*M250/10 + 0.03032028*M250^2/100 + M250^3/49931000&lt;0,MOD(280.4664567 + 360007.6982779*M250/10 + 0.03032028*M250^2/100 + M250^3/49931000+360,360),MOD(280.4664567 + 360007.6982779*M250/10 + 0.03032028*M250^2/100 + M250^3/49931000,360))</f>
        <v>220.272632091977</v>
      </c>
      <c r="AO250" s="27" t="n">
        <f aca="false"> AN250 + (1.9146 - 0.004817*M250 - 0.000014*M250^2)*SIN(R250)+ (0.019993 - 0.000101*M250)*SIN(2*R250)+ 0.00029*SIN(3*R250)</f>
        <v>218.550679696894</v>
      </c>
      <c r="AP250" s="18" t="n">
        <f aca="false">ACOS(COS(X250-$A$4*AO250)*COS(Y250))/$A$4</f>
        <v>86.3943496130007</v>
      </c>
      <c r="AQ250" s="25" t="n">
        <f aca="false">180 - AP250 -0.1468*(1-0.0549*SIN(R250))*SIN($A$4*AP250)/(1-0.0167*SIN($A$4*AO250))</f>
        <v>93.4535533405286</v>
      </c>
      <c r="AR250" s="25" t="n">
        <f aca="false">SIN($A$4*AI250)</f>
        <v>0.999604988547173</v>
      </c>
      <c r="AS250" s="25" t="n">
        <f aca="false">COS($A$4*AI250)*SIN($A$4*$G$2) - TAN($A$4*AG250)*COS($A$4*$G$2)</f>
        <v>0.422787568796205</v>
      </c>
      <c r="AT250" s="25" t="n">
        <f aca="false">IF(OR(AND(AR250*AS250&gt;0), AND(AR250&lt;0,AS250&gt;0)), MOD(ATAN2(AS250,AR250)/$A$4+360,360),  ATAN2(AS250,AR250)/$A$4)</f>
        <v>67.0738423998673</v>
      </c>
      <c r="AU250" s="29" t="n">
        <f aca="false">(1+SIN($A$4*H250)*SIN($A$4*AJ250))*120*ASIN(0.272481*SIN($A$4*AJ250))/$A$4</f>
        <v>32.3256522652438</v>
      </c>
      <c r="AV250" s="10" t="n">
        <f aca="false">COS(X250)</f>
        <v>0.57257424398223</v>
      </c>
      <c r="AW250" s="10" t="n">
        <f aca="false">SIN(X250)</f>
        <v>-0.819852874074475</v>
      </c>
      <c r="AX250" s="30" t="n">
        <f aca="false"> 385000.56 + (-20905355*COS(Q250) - 3699111*COS(2*S250-Q250) - 2955968*COS(2*S250) - 569925*COS(2*Q250) + (1-0.002516*M250)*48888*COS(R250) - 3149*COS(2*T250)  +246158*COS(2*S250-2*Q250) -(1-0.002516*M250)*152138*COS(2*S250-R250-Q250) -170733*COS(2*S250+Q250) -(1-0.002516*M250)*204586*COS(2*S250-R250) -(1-0.002516*M250)*129620*COS(R250-Q250)  + 108743*COS(S250) +(1-0.002516*M250)*104755*COS(R250+Q250) +10321*COS(2*S250-2*T250) +79661*COS(Q250-2*T250) -34782*COS(4*S250-Q250) -23210*COS(3*Q250)  -21636*COS(4*S250-2*Q250) +(1-0.002516*M250)*24208*COS(2*S250+R250-Q250) +(1-0.002516*M250)*30824*COS(2*S250+R250) -8379*COS(S250-Q250) -(1-0.002516*M250)*16675*COS(S250+R250)  -(1-0.002516*M250)*12831*COS(2*S250-R250+Q250) -10445*COS(2*S250+2*Q250) -11650*COS(4*S250) +14403*COS(2*S250-3*Q250) -(1-0.002516*M250)*7003*COS(R250-2*Q250)  + (1-0.002516*M250)*10056*COS(2*S250-R250-2*Q250) +6322*COS(S250+Q250) -(1-0.002516*M250)*(1-0.002516*M250)*9884*COS(2*S250-2*R250) +(1-0.002516*M250)*5751*COS(R250+2*Q250) -(1-0.002516*M250)*(1-0.002516*M250)*4950*COS(2*S250-2*R250-Q250)  +4130*COS(2*S250+Q250-2*T250) -(1-0.002516*M250)*3958*COS(4*S250-R250-Q250) +3258*COS(3*S250-Q250) +(1-0.002516*M250)*2616*COS(2*S250+R250+Q250) -(1-0.002516*M250)*1897*COS(4*S250-R250-2*Q250)  -(1-0.002516*M250)*(1-0.002516*M250)*2117*COS(2*R250-Q250) +(1-0.002516*M250)*(1-0.002516*M250)*2354*COS(2*S250+2*R250-Q250) -1423*COS(4*S250+Q250) -1117*COS(4*Q250) -(1-0.002516*M250)*1571*COS(4*S250-R250)  -1739*COS(S250-2*Q250) -4421*COS(2*Q250-2*T250) +(1-0.002516*M250)*(1-0.002516*M250)*1165*COS(2*R250+Q250) +8752*COS(2*S250-Q250-2*T250))/1000</f>
        <v>370256.875043271</v>
      </c>
      <c r="AY250" s="10" t="n">
        <f aca="false">IF($A$7&gt;30,AY249+1/8,"")</f>
        <v>32</v>
      </c>
      <c r="AZ250" s="17" t="n">
        <f aca="false">AZ249+1</f>
        <v>249</v>
      </c>
      <c r="BA250" s="32" t="n">
        <f aca="false">ATAN(0.99664719*TAN($A$4*input!$E$2))</f>
        <v>-0.400219206115995</v>
      </c>
      <c r="BB250" s="32" t="n">
        <f aca="false">COS(BA250)</f>
        <v>0.920975608992155</v>
      </c>
      <c r="BC250" s="32" t="n">
        <f aca="false">0.99664719*SIN(BA250)</f>
        <v>-0.388313912533463</v>
      </c>
      <c r="BD250" s="32" t="n">
        <f aca="false">6378.14/AX250</f>
        <v>0.0172262567690461</v>
      </c>
      <c r="BE250" s="33" t="n">
        <f aca="false">MOD(N250-15*AH250,360)</f>
        <v>91.6104853220425</v>
      </c>
      <c r="BF250" s="27" t="n">
        <f aca="false">COS($A$4*AG250)*SIN($A$4*BE250)</f>
        <v>0.912457147817715</v>
      </c>
      <c r="BG250" s="27" t="n">
        <f aca="false">COS($A$4*AG250)*COS($A$4*BE250)-BB250*BD250</f>
        <v>-0.0415193121348193</v>
      </c>
      <c r="BH250" s="27" t="n">
        <f aca="false">SIN($A$4*AG250)-BC250*BD250</f>
        <v>-0.401678050990272</v>
      </c>
      <c r="BI250" s="46" t="n">
        <f aca="false">SQRT(BF250^2+BG250^2+BH250^2)</f>
        <v>0.997821204691067</v>
      </c>
      <c r="BJ250" s="35" t="n">
        <f aca="false">AX250*BI250</f>
        <v>369450.161100826</v>
      </c>
    </row>
    <row r="251" customFormat="false" ht="15" hidden="false" customHeight="false" outlineLevel="0" collapsed="false">
      <c r="D251" s="20"/>
      <c r="H251" s="22"/>
      <c r="I251" s="20"/>
      <c r="K251" s="20"/>
      <c r="M251" s="20"/>
      <c r="O251" s="28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R251" s="20"/>
      <c r="AS251" s="20"/>
      <c r="AT251" s="20"/>
      <c r="BA251" s="0"/>
      <c r="BB251" s="0"/>
      <c r="BC251" s="0"/>
      <c r="BD251" s="0"/>
      <c r="BE251" s="0"/>
      <c r="BF251" s="0"/>
      <c r="BG251" s="0"/>
      <c r="BH251" s="0"/>
      <c r="BI251" s="0"/>
      <c r="BJ251" s="54"/>
    </row>
    <row r="252" customFormat="false" ht="15" hidden="false" customHeight="false" outlineLevel="0" collapsed="false">
      <c r="D252" s="20"/>
      <c r="H252" s="22"/>
      <c r="I252" s="20"/>
      <c r="K252" s="20"/>
      <c r="M252" s="20"/>
      <c r="O252" s="28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R252" s="20"/>
      <c r="AS252" s="20"/>
      <c r="AT252" s="20"/>
      <c r="AW252" s="0"/>
      <c r="AX252" s="0"/>
      <c r="AZ252" s="105" t="s">
        <v>20</v>
      </c>
      <c r="BA252" s="12" t="s">
        <v>8</v>
      </c>
      <c r="BB252" s="0"/>
      <c r="BC252" s="0"/>
      <c r="BD252" s="0"/>
      <c r="BE252" s="0"/>
      <c r="BF252" s="0"/>
      <c r="BG252" s="0"/>
      <c r="BH252" s="0"/>
      <c r="BI252" s="0"/>
      <c r="BJ252" s="54"/>
      <c r="BL252" s="12" t="s">
        <v>20</v>
      </c>
      <c r="BM252" s="12" t="s">
        <v>8</v>
      </c>
    </row>
    <row r="253" customFormat="false" ht="15" hidden="false" customHeight="false" outlineLevel="0" collapsed="false">
      <c r="D253" s="20"/>
      <c r="H253" s="22"/>
      <c r="I253" s="20"/>
      <c r="K253" s="20"/>
      <c r="M253" s="20"/>
      <c r="O253" s="28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R253" s="20"/>
      <c r="AS253" s="20"/>
      <c r="AT253" s="20"/>
      <c r="AW253" s="10" t="s">
        <v>78</v>
      </c>
      <c r="AX253" s="30" t="n">
        <f aca="false">MAX(AX2:AX250)</f>
        <v>404325.360487825</v>
      </c>
      <c r="AY253" s="14" t="n">
        <f aca="false">MATCH(MAX(AX2:AX250),rgeo,1)</f>
        <v>132</v>
      </c>
      <c r="AZ253" s="17" t="n">
        <f aca="false">INDEX(datetopo,AY253)</f>
        <v>17</v>
      </c>
      <c r="BA253" s="15" t="n">
        <f aca="false">INDEX(uttopo,AY253)</f>
        <v>9</v>
      </c>
      <c r="BB253" s="0"/>
      <c r="BC253" s="0"/>
      <c r="BD253" s="0"/>
      <c r="BE253" s="0"/>
      <c r="BF253" s="0"/>
      <c r="BG253" s="0"/>
      <c r="BH253" s="0"/>
      <c r="BI253" s="55" t="s">
        <v>78</v>
      </c>
      <c r="BJ253" s="30" t="n">
        <f aca="false">MAX(BJ2:BJ250)</f>
        <v>410624.654474818</v>
      </c>
      <c r="BK253" s="12" t="n">
        <f aca="false">MATCH(MAX(BJ2:BJ250),rtopo,1)</f>
        <v>135</v>
      </c>
      <c r="BL253" s="12" t="n">
        <f aca="false">INDEX(datetopo,BK253)</f>
        <v>17</v>
      </c>
      <c r="BM253" s="15" t="n">
        <f aca="false">INDEX(uttopo,BK253)</f>
        <v>18</v>
      </c>
    </row>
    <row r="254" customFormat="false" ht="15" hidden="false" customHeight="false" outlineLevel="0" collapsed="false">
      <c r="D254" s="20"/>
      <c r="H254" s="22"/>
      <c r="I254" s="20"/>
      <c r="K254" s="20"/>
      <c r="M254" s="20"/>
      <c r="O254" s="28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R254" s="20"/>
      <c r="AS254" s="20"/>
      <c r="AT254" s="20"/>
      <c r="AW254" s="10" t="s">
        <v>1</v>
      </c>
      <c r="AX254" s="30" t="n">
        <f aca="false">MIN(AX3:AX251)</f>
        <v>368293.650089974</v>
      </c>
      <c r="AY254" s="14" t="n">
        <f aca="false">MATCH(MIN(AX2:AX250),rgeo,-1)</f>
        <v>230</v>
      </c>
      <c r="AZ254" s="17" t="n">
        <f aca="false">INDEX(datetopo,AY254)</f>
        <v>29</v>
      </c>
      <c r="BA254" s="15" t="n">
        <f aca="false">INDEX(uttopo,AY254)</f>
        <v>15</v>
      </c>
      <c r="BB254" s="0"/>
      <c r="BC254" s="0"/>
      <c r="BD254" s="0"/>
      <c r="BE254" s="0"/>
      <c r="BF254" s="0"/>
      <c r="BG254" s="0"/>
      <c r="BH254" s="0"/>
      <c r="BI254" s="55" t="s">
        <v>1</v>
      </c>
      <c r="BJ254" s="30" t="n">
        <f aca="false">MIN(BJ2:BJ250)</f>
        <v>361993.318172706</v>
      </c>
      <c r="BK254" s="12" t="n">
        <f aca="false">MATCH(MIN(BJ2:BJ250),rtopo,-1)</f>
        <v>230</v>
      </c>
      <c r="BL254" s="12" t="n">
        <f aca="false">INDEX(datetopo,BK254)</f>
        <v>29</v>
      </c>
      <c r="BM254" s="15" t="n">
        <f aca="false">INDEX(uttopo,BK254)</f>
        <v>15</v>
      </c>
    </row>
    <row r="255" customFormat="false" ht="15" hidden="false" customHeight="false" outlineLevel="0" collapsed="false">
      <c r="D255" s="20"/>
      <c r="H255" s="22"/>
      <c r="I255" s="20"/>
      <c r="K255" s="20"/>
      <c r="M255" s="20"/>
      <c r="O255" s="28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R255" s="20"/>
      <c r="AS255" s="20"/>
      <c r="AT255" s="20"/>
      <c r="BA255" s="0"/>
      <c r="BB255" s="0"/>
      <c r="BC255" s="0"/>
      <c r="BD255" s="0"/>
      <c r="BE255" s="0"/>
      <c r="BF255" s="0"/>
      <c r="BG255" s="0"/>
      <c r="BH255" s="0"/>
      <c r="BI255" s="0"/>
      <c r="BJ255" s="54"/>
    </row>
    <row r="256" customFormat="false" ht="15" hidden="false" customHeight="false" outlineLevel="0" collapsed="false">
      <c r="D256" s="20"/>
      <c r="H256" s="22"/>
      <c r="I256" s="20"/>
      <c r="K256" s="20"/>
      <c r="M256" s="20"/>
      <c r="O256" s="28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R256" s="20"/>
      <c r="AS256" s="20"/>
      <c r="AT256" s="2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</row>
    <row r="257" customFormat="false" ht="15" hidden="false" customHeight="false" outlineLevel="0" collapsed="false">
      <c r="D257" s="20"/>
      <c r="H257" s="22"/>
      <c r="I257" s="20"/>
      <c r="K257" s="20"/>
      <c r="M257" s="20"/>
      <c r="O257" s="28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R257" s="20"/>
      <c r="AS257" s="20"/>
      <c r="AT257" s="2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</row>
    <row r="258" customFormat="false" ht="15" hidden="false" customHeight="false" outlineLevel="0" collapsed="false">
      <c r="D258" s="20"/>
      <c r="H258" s="22"/>
      <c r="I258" s="20"/>
      <c r="K258" s="20"/>
      <c r="M258" s="20"/>
      <c r="O258" s="28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R258" s="20"/>
      <c r="AS258" s="20"/>
      <c r="AT258" s="2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</row>
    <row r="259" customFormat="false" ht="15" hidden="false" customHeight="false" outlineLevel="0" collapsed="false">
      <c r="D259" s="20"/>
      <c r="H259" s="22"/>
      <c r="M259" s="20"/>
      <c r="Q259" s="17"/>
      <c r="R259" s="17"/>
      <c r="S259" s="17"/>
      <c r="T259" s="17"/>
      <c r="U259" s="17"/>
      <c r="AG259" s="20"/>
      <c r="AI259" s="20"/>
      <c r="BA259" s="0"/>
      <c r="BB259" s="0"/>
      <c r="BC259" s="0"/>
      <c r="BD259" s="0"/>
      <c r="BE259" s="0"/>
      <c r="BF259" s="0"/>
      <c r="BG259" s="0"/>
      <c r="BH259" s="0"/>
      <c r="BI259" s="0"/>
      <c r="BJ259" s="54"/>
    </row>
    <row r="260" customFormat="false" ht="15" hidden="false" customHeight="false" outlineLevel="0" collapsed="false">
      <c r="BA260" s="0"/>
      <c r="BB260" s="0"/>
      <c r="BC260" s="0"/>
      <c r="BD260" s="0"/>
      <c r="BE260" s="0"/>
      <c r="BF260" s="0"/>
      <c r="BG260" s="0"/>
      <c r="BH260" s="0"/>
      <c r="BI260" s="0"/>
      <c r="BJ260" s="54"/>
      <c r="BM260" s="84" t="n">
        <f aca="false">INDEX(uttopo,5)</f>
        <v>12</v>
      </c>
    </row>
    <row r="261" customFormat="false" ht="15" hidden="false" customHeight="false" outlineLevel="0" collapsed="false">
      <c r="BA261" s="0"/>
      <c r="BB261" s="0"/>
      <c r="BC261" s="0"/>
      <c r="BD261" s="0"/>
      <c r="BE261" s="0"/>
      <c r="BF261" s="0"/>
      <c r="BG261" s="0"/>
      <c r="BH261" s="0"/>
      <c r="BI261" s="0"/>
      <c r="BJ261" s="54"/>
    </row>
    <row r="262" customFormat="false" ht="15" hidden="false" customHeight="false" outlineLevel="0" collapsed="false">
      <c r="BA262" s="0"/>
      <c r="BB262" s="0"/>
      <c r="BC262" s="0"/>
      <c r="BD262" s="0"/>
      <c r="BE262" s="0"/>
      <c r="BF262" s="0"/>
      <c r="BG262" s="0"/>
      <c r="BH262" s="0"/>
      <c r="BI262" s="0"/>
      <c r="BJ262" s="54"/>
    </row>
    <row r="263" customFormat="false" ht="15" hidden="false" customHeight="false" outlineLevel="0" collapsed="false">
      <c r="BA263" s="0"/>
      <c r="BB263" s="0"/>
      <c r="BC263" s="0"/>
      <c r="BD263" s="0"/>
      <c r="BE263" s="0"/>
      <c r="BF263" s="0"/>
      <c r="BG263" s="0"/>
      <c r="BH263" s="0"/>
      <c r="BI263" s="0"/>
      <c r="BJ263" s="54"/>
    </row>
    <row r="264" customFormat="false" ht="15" hidden="false" customHeight="false" outlineLevel="0" collapsed="false">
      <c r="L264" s="0"/>
      <c r="BA264" s="0"/>
      <c r="BB264" s="0"/>
      <c r="BC264" s="0"/>
      <c r="BD264" s="0"/>
      <c r="BE264" s="0"/>
      <c r="BF264" s="0"/>
      <c r="BG264" s="0"/>
      <c r="BH264" s="0"/>
      <c r="BI264" s="0"/>
      <c r="BJ264" s="54"/>
    </row>
    <row r="265" customFormat="false" ht="15" hidden="false" customHeight="false" outlineLevel="0" collapsed="false">
      <c r="BA265" s="0"/>
      <c r="BB265" s="0"/>
      <c r="BC265" s="0"/>
      <c r="BD265" s="0"/>
      <c r="BE265" s="0"/>
      <c r="BF265" s="0"/>
      <c r="BG265" s="0"/>
      <c r="BH265" s="0"/>
      <c r="BI265" s="0"/>
      <c r="BJ265" s="54"/>
    </row>
    <row r="266" customFormat="false" ht="15" hidden="false" customHeight="false" outlineLevel="0" collapsed="false">
      <c r="BA266" s="0"/>
      <c r="BB266" s="0"/>
      <c r="BC266" s="0"/>
      <c r="BD266" s="0"/>
      <c r="BE266" s="0"/>
      <c r="BF266" s="0"/>
      <c r="BG266" s="0"/>
      <c r="BH266" s="0"/>
      <c r="BI266" s="0"/>
      <c r="BJ266" s="54"/>
    </row>
    <row r="267" customFormat="false" ht="15" hidden="false" customHeight="false" outlineLevel="0" collapsed="false">
      <c r="BA267" s="0"/>
      <c r="BB267" s="0"/>
      <c r="BC267" s="0"/>
      <c r="BD267" s="0"/>
      <c r="BE267" s="0"/>
      <c r="BF267" s="0"/>
      <c r="BG267" s="0"/>
      <c r="BH267" s="0"/>
      <c r="BI267" s="0"/>
      <c r="BJ267" s="54"/>
    </row>
    <row r="268" customFormat="false" ht="15" hidden="false" customHeight="false" outlineLevel="0" collapsed="false">
      <c r="BA268" s="0"/>
      <c r="BB268" s="0"/>
      <c r="BC268" s="0"/>
      <c r="BD268" s="0"/>
      <c r="BE268" s="0"/>
      <c r="BF268" s="0"/>
      <c r="BG268" s="0"/>
      <c r="BH268" s="0"/>
      <c r="BI268" s="0"/>
      <c r="BJ268" s="54"/>
    </row>
    <row r="269" customFormat="false" ht="15" hidden="false" customHeight="false" outlineLevel="0" collapsed="false">
      <c r="BA269" s="0"/>
      <c r="BB269" s="0"/>
      <c r="BC269" s="0"/>
      <c r="BD269" s="0"/>
      <c r="BE269" s="0"/>
      <c r="BF269" s="0"/>
      <c r="BG269" s="0"/>
      <c r="BH269" s="0"/>
      <c r="BI269" s="0"/>
      <c r="BJ269" s="54"/>
    </row>
    <row r="270" customFormat="false" ht="15" hidden="false" customHeight="false" outlineLevel="0" collapsed="false">
      <c r="BA270" s="0"/>
      <c r="BB270" s="0"/>
      <c r="BC270" s="0"/>
      <c r="BD270" s="0"/>
      <c r="BE270" s="0"/>
      <c r="BF270" s="0"/>
      <c r="BG270" s="0"/>
      <c r="BH270" s="0"/>
      <c r="BI270" s="0"/>
      <c r="BJ270" s="54"/>
    </row>
    <row r="271" customFormat="false" ht="15" hidden="false" customHeight="false" outlineLevel="0" collapsed="false">
      <c r="BA271" s="0"/>
      <c r="BB271" s="0"/>
      <c r="BC271" s="0"/>
      <c r="BD271" s="0"/>
      <c r="BE271" s="0"/>
      <c r="BF271" s="0"/>
      <c r="BG271" s="0"/>
      <c r="BH271" s="0"/>
      <c r="BI271" s="0"/>
      <c r="BJ271" s="54"/>
    </row>
    <row r="272" customFormat="false" ht="15" hidden="false" customHeight="false" outlineLevel="0" collapsed="false">
      <c r="BA272" s="0"/>
      <c r="BB272" s="0"/>
      <c r="BC272" s="0"/>
      <c r="BD272" s="0"/>
      <c r="BE272" s="0"/>
      <c r="BF272" s="0"/>
      <c r="BG272" s="0"/>
      <c r="BH272" s="0"/>
      <c r="BI272" s="0"/>
      <c r="BJ272" s="54"/>
    </row>
    <row r="273" customFormat="false" ht="15" hidden="false" customHeight="false" outlineLevel="0" collapsed="false">
      <c r="BA273" s="0"/>
      <c r="BB273" s="0"/>
      <c r="BC273" s="0"/>
      <c r="BD273" s="0"/>
      <c r="BE273" s="0"/>
      <c r="BF273" s="0"/>
      <c r="BG273" s="0"/>
      <c r="BH273" s="0"/>
      <c r="BI273" s="0"/>
      <c r="BJ273" s="54"/>
    </row>
    <row r="274" customFormat="false" ht="15" hidden="false" customHeight="false" outlineLevel="0" collapsed="false">
      <c r="BA274" s="0"/>
      <c r="BB274" s="0"/>
      <c r="BC274" s="0"/>
      <c r="BD274" s="0"/>
      <c r="BE274" s="0"/>
      <c r="BF274" s="0"/>
      <c r="BG274" s="0"/>
      <c r="BH274" s="0"/>
      <c r="BI274" s="0"/>
      <c r="BJ274" s="54"/>
    </row>
    <row r="275" customFormat="false" ht="15" hidden="false" customHeight="false" outlineLevel="0" collapsed="false">
      <c r="BA275" s="0"/>
      <c r="BB275" s="0"/>
      <c r="BC275" s="0"/>
      <c r="BD275" s="0"/>
      <c r="BE275" s="0"/>
      <c r="BF275" s="0"/>
      <c r="BG275" s="0"/>
      <c r="BH275" s="0"/>
      <c r="BI275" s="0"/>
      <c r="BJ275" s="54"/>
    </row>
    <row r="276" customFormat="false" ht="15" hidden="false" customHeight="false" outlineLevel="0" collapsed="false">
      <c r="BA276" s="0"/>
      <c r="BB276" s="0"/>
      <c r="BC276" s="0"/>
      <c r="BD276" s="0"/>
      <c r="BE276" s="0"/>
      <c r="BF276" s="0"/>
      <c r="BG276" s="0"/>
      <c r="BH276" s="0"/>
      <c r="BI276" s="0"/>
      <c r="BJ276" s="54"/>
    </row>
    <row r="277" customFormat="false" ht="15" hidden="false" customHeight="false" outlineLevel="0" collapsed="false">
      <c r="BA277" s="0"/>
      <c r="BB277" s="0"/>
      <c r="BC277" s="0"/>
      <c r="BD277" s="0"/>
      <c r="BE277" s="0"/>
      <c r="BF277" s="0"/>
      <c r="BG277" s="0"/>
      <c r="BH277" s="0"/>
      <c r="BI277" s="0"/>
      <c r="BJ277" s="54"/>
    </row>
    <row r="278" customFormat="false" ht="15" hidden="false" customHeight="false" outlineLevel="0" collapsed="false">
      <c r="BA278" s="0"/>
      <c r="BB278" s="0"/>
      <c r="BC278" s="0"/>
      <c r="BD278" s="0"/>
      <c r="BE278" s="0"/>
      <c r="BF278" s="0"/>
      <c r="BG278" s="0"/>
      <c r="BH278" s="0"/>
      <c r="BI278" s="0"/>
      <c r="BJ278" s="54"/>
    </row>
    <row r="279" customFormat="false" ht="15" hidden="false" customHeight="false" outlineLevel="0" collapsed="false">
      <c r="BA279" s="0"/>
      <c r="BB279" s="0"/>
      <c r="BC279" s="0"/>
      <c r="BD279" s="0"/>
      <c r="BE279" s="0"/>
      <c r="BF279" s="0"/>
      <c r="BG279" s="0"/>
      <c r="BH279" s="0"/>
      <c r="BI279" s="0"/>
      <c r="BJ279" s="54"/>
    </row>
    <row r="280" customFormat="false" ht="15" hidden="false" customHeight="false" outlineLevel="0" collapsed="false">
      <c r="BA280" s="0"/>
      <c r="BB280" s="0"/>
      <c r="BC280" s="0"/>
      <c r="BD280" s="0"/>
      <c r="BE280" s="0"/>
      <c r="BF280" s="0"/>
      <c r="BG280" s="0"/>
      <c r="BH280" s="0"/>
      <c r="BI280" s="0"/>
      <c r="BJ280" s="54"/>
    </row>
    <row r="281" customFormat="false" ht="15" hidden="false" customHeight="false" outlineLevel="0" collapsed="false">
      <c r="BA281" s="0"/>
      <c r="BB281" s="0"/>
      <c r="BC281" s="0"/>
      <c r="BD281" s="0"/>
      <c r="BE281" s="0"/>
      <c r="BF281" s="0"/>
      <c r="BG281" s="0"/>
      <c r="BH281" s="0"/>
      <c r="BI281" s="0"/>
      <c r="BJ281" s="54"/>
    </row>
    <row r="282" customFormat="false" ht="15" hidden="false" customHeight="false" outlineLevel="0" collapsed="false">
      <c r="BA282" s="0"/>
      <c r="BB282" s="0"/>
      <c r="BC282" s="0"/>
      <c r="BD282" s="0"/>
      <c r="BE282" s="0"/>
      <c r="BF282" s="0"/>
      <c r="BG282" s="0"/>
      <c r="BH282" s="0"/>
      <c r="BI282" s="0"/>
      <c r="BJ282" s="54"/>
    </row>
    <row r="283" customFormat="false" ht="15" hidden="false" customHeight="false" outlineLevel="0" collapsed="false">
      <c r="BA283" s="0"/>
      <c r="BB283" s="0"/>
      <c r="BC283" s="0"/>
      <c r="BD283" s="0"/>
      <c r="BE283" s="0"/>
      <c r="BF283" s="0"/>
      <c r="BG283" s="0"/>
      <c r="BH283" s="0"/>
      <c r="BI283" s="0"/>
      <c r="BJ283" s="54"/>
    </row>
    <row r="284" customFormat="false" ht="15" hidden="false" customHeight="false" outlineLevel="0" collapsed="false">
      <c r="BA284" s="0"/>
      <c r="BB284" s="0"/>
      <c r="BC284" s="0"/>
      <c r="BD284" s="0"/>
      <c r="BE284" s="0"/>
      <c r="BF284" s="0"/>
      <c r="BG284" s="0"/>
      <c r="BH284" s="0"/>
      <c r="BI284" s="0"/>
      <c r="BJ284" s="54"/>
    </row>
    <row r="285" customFormat="false" ht="15" hidden="false" customHeight="false" outlineLevel="0" collapsed="false">
      <c r="BA285" s="0"/>
      <c r="BB285" s="0"/>
      <c r="BC285" s="0"/>
      <c r="BD285" s="0"/>
      <c r="BE285" s="0"/>
      <c r="BF285" s="0"/>
      <c r="BG285" s="0"/>
      <c r="BH285" s="0"/>
      <c r="BI285" s="0"/>
      <c r="BJ285" s="54"/>
    </row>
    <row r="286" customFormat="false" ht="15" hidden="false" customHeight="false" outlineLevel="0" collapsed="false">
      <c r="BA286" s="0"/>
      <c r="BB286" s="0"/>
      <c r="BC286" s="0"/>
      <c r="BD286" s="0"/>
      <c r="BE286" s="0"/>
      <c r="BF286" s="0"/>
      <c r="BG286" s="0"/>
      <c r="BH286" s="0"/>
      <c r="BI286" s="0"/>
      <c r="BJ286" s="54"/>
    </row>
    <row r="287" customFormat="false" ht="15" hidden="false" customHeight="false" outlineLevel="0" collapsed="false">
      <c r="BA287" s="0"/>
      <c r="BB287" s="0"/>
      <c r="BC287" s="0"/>
      <c r="BD287" s="0"/>
      <c r="BE287" s="0"/>
      <c r="BF287" s="0"/>
      <c r="BG287" s="0"/>
      <c r="BH287" s="0"/>
      <c r="BI287" s="0"/>
      <c r="BJ287" s="54"/>
    </row>
    <row r="288" customFormat="false" ht="15" hidden="false" customHeight="false" outlineLevel="0" collapsed="false">
      <c r="BA288" s="0"/>
      <c r="BB288" s="0"/>
      <c r="BC288" s="0"/>
      <c r="BD288" s="0"/>
      <c r="BE288" s="0"/>
      <c r="BF288" s="0"/>
      <c r="BG288" s="0"/>
      <c r="BH288" s="0"/>
      <c r="BI288" s="0"/>
      <c r="BJ288" s="54"/>
    </row>
    <row r="289" customFormat="false" ht="15" hidden="false" customHeight="false" outlineLevel="0" collapsed="false">
      <c r="BA289" s="0"/>
      <c r="BB289" s="0"/>
      <c r="BC289" s="0"/>
      <c r="BD289" s="0"/>
      <c r="BE289" s="0"/>
      <c r="BF289" s="0"/>
      <c r="BG289" s="0"/>
      <c r="BH289" s="0"/>
      <c r="BI289" s="0"/>
      <c r="BJ289" s="54"/>
    </row>
    <row r="290" customFormat="false" ht="15" hidden="false" customHeight="false" outlineLevel="0" collapsed="false">
      <c r="BA290" s="0"/>
      <c r="BB290" s="0"/>
      <c r="BC290" s="0"/>
      <c r="BD290" s="0"/>
      <c r="BE290" s="0"/>
      <c r="BF290" s="0"/>
      <c r="BG290" s="0"/>
      <c r="BH290" s="0"/>
      <c r="BI290" s="0"/>
      <c r="BJ290" s="54"/>
    </row>
    <row r="291" customFormat="false" ht="15" hidden="false" customHeight="false" outlineLevel="0" collapsed="false">
      <c r="BA291" s="0"/>
      <c r="BB291" s="0"/>
      <c r="BC291" s="0"/>
      <c r="BD291" s="0"/>
      <c r="BE291" s="0"/>
      <c r="BF291" s="0"/>
      <c r="BG291" s="0"/>
      <c r="BH291" s="0"/>
      <c r="BI291" s="0"/>
      <c r="BJ291" s="54"/>
    </row>
    <row r="292" customFormat="false" ht="15" hidden="false" customHeight="false" outlineLevel="0" collapsed="false">
      <c r="BA292" s="0"/>
      <c r="BB292" s="0"/>
      <c r="BC292" s="0"/>
      <c r="BD292" s="0"/>
      <c r="BE292" s="0"/>
      <c r="BF292" s="0"/>
      <c r="BG292" s="0"/>
      <c r="BH292" s="0"/>
      <c r="BI292" s="0"/>
      <c r="BJ292" s="54"/>
    </row>
    <row r="293" customFormat="false" ht="15" hidden="false" customHeight="false" outlineLevel="0" collapsed="false">
      <c r="BA293" s="0"/>
      <c r="BB293" s="0"/>
      <c r="BC293" s="0"/>
      <c r="BD293" s="0"/>
      <c r="BE293" s="0"/>
      <c r="BF293" s="0"/>
      <c r="BG293" s="0"/>
      <c r="BH293" s="0"/>
      <c r="BI293" s="0"/>
      <c r="BJ293" s="54"/>
    </row>
    <row r="294" customFormat="false" ht="15" hidden="false" customHeight="false" outlineLevel="0" collapsed="false">
      <c r="BA294" s="0"/>
      <c r="BB294" s="0"/>
      <c r="BC294" s="0"/>
      <c r="BD294" s="0"/>
      <c r="BE294" s="0"/>
      <c r="BF294" s="0"/>
      <c r="BG294" s="0"/>
      <c r="BH294" s="0"/>
      <c r="BI294" s="0"/>
      <c r="BJ294" s="54"/>
    </row>
    <row r="295" customFormat="false" ht="15" hidden="false" customHeight="false" outlineLevel="0" collapsed="false">
      <c r="BA295" s="0"/>
      <c r="BB295" s="0"/>
      <c r="BC295" s="0"/>
      <c r="BD295" s="0"/>
      <c r="BE295" s="0"/>
      <c r="BF295" s="0"/>
      <c r="BG295" s="0"/>
      <c r="BH295" s="0"/>
      <c r="BI295" s="0"/>
      <c r="BJ295" s="54"/>
    </row>
    <row r="296" customFormat="false" ht="15" hidden="false" customHeight="false" outlineLevel="0" collapsed="false">
      <c r="BA296" s="0"/>
      <c r="BB296" s="0"/>
      <c r="BC296" s="0"/>
      <c r="BD296" s="0"/>
      <c r="BE296" s="0"/>
      <c r="BF296" s="0"/>
      <c r="BG296" s="0"/>
      <c r="BH296" s="0"/>
      <c r="BI296" s="0"/>
      <c r="BJ296" s="54"/>
    </row>
    <row r="297" customFormat="false" ht="15" hidden="false" customHeight="false" outlineLevel="0" collapsed="false">
      <c r="BA297" s="0"/>
      <c r="BB297" s="0"/>
      <c r="BC297" s="0"/>
      <c r="BD297" s="0"/>
      <c r="BE297" s="0"/>
      <c r="BF297" s="0"/>
      <c r="BG297" s="0"/>
      <c r="BH297" s="0"/>
      <c r="BI297" s="0"/>
      <c r="BJ297" s="54"/>
    </row>
    <row r="298" customFormat="false" ht="15" hidden="false" customHeight="false" outlineLevel="0" collapsed="false">
      <c r="BA298" s="0"/>
      <c r="BB298" s="0"/>
      <c r="BC298" s="0"/>
      <c r="BD298" s="0"/>
      <c r="BE298" s="0"/>
      <c r="BF298" s="0"/>
      <c r="BG298" s="0"/>
      <c r="BH298" s="0"/>
      <c r="BI298" s="0"/>
      <c r="BJ298" s="54"/>
    </row>
    <row r="299" customFormat="false" ht="15" hidden="false" customHeight="false" outlineLevel="0" collapsed="false">
      <c r="BA299" s="0"/>
      <c r="BB299" s="0"/>
      <c r="BC299" s="0"/>
      <c r="BD299" s="0"/>
      <c r="BE299" s="0"/>
      <c r="BF299" s="0"/>
      <c r="BG299" s="0"/>
      <c r="BH299" s="0"/>
      <c r="BI299" s="0"/>
      <c r="BJ299" s="54"/>
    </row>
    <row r="300" customFormat="false" ht="15" hidden="false" customHeight="false" outlineLevel="0" collapsed="false">
      <c r="BA300" s="0"/>
      <c r="BB300" s="0"/>
      <c r="BC300" s="0"/>
      <c r="BD300" s="0"/>
      <c r="BE300" s="0"/>
      <c r="BF300" s="0"/>
      <c r="BG300" s="0"/>
      <c r="BH300" s="0"/>
      <c r="BI300" s="0"/>
      <c r="BJ300" s="54"/>
    </row>
    <row r="301" customFormat="false" ht="15" hidden="false" customHeight="false" outlineLevel="0" collapsed="false">
      <c r="BA301" s="0"/>
      <c r="BB301" s="0"/>
      <c r="BC301" s="0"/>
      <c r="BD301" s="0"/>
      <c r="BE301" s="0"/>
      <c r="BF301" s="0"/>
      <c r="BG301" s="0"/>
      <c r="BH301" s="0"/>
      <c r="BI301" s="0"/>
      <c r="BJ301" s="54"/>
    </row>
    <row r="302" customFormat="false" ht="15" hidden="false" customHeight="false" outlineLevel="0" collapsed="false">
      <c r="BA302" s="0"/>
      <c r="BB302" s="0"/>
      <c r="BC302" s="0"/>
      <c r="BD302" s="0"/>
      <c r="BE302" s="0"/>
      <c r="BF302" s="0"/>
      <c r="BG302" s="0"/>
      <c r="BH302" s="0"/>
      <c r="BI302" s="0"/>
      <c r="BJ302" s="54"/>
    </row>
    <row r="303" customFormat="false" ht="15" hidden="false" customHeight="false" outlineLevel="0" collapsed="false">
      <c r="BA303" s="0"/>
      <c r="BB303" s="0"/>
      <c r="BC303" s="0"/>
      <c r="BD303" s="0"/>
      <c r="BE303" s="0"/>
      <c r="BF303" s="0"/>
      <c r="BG303" s="0"/>
      <c r="BH303" s="0"/>
      <c r="BI303" s="0"/>
      <c r="BJ303" s="54"/>
    </row>
    <row r="304" customFormat="false" ht="15" hidden="false" customHeight="false" outlineLevel="0" collapsed="false">
      <c r="BA304" s="0"/>
      <c r="BB304" s="0"/>
      <c r="BC304" s="0"/>
      <c r="BD304" s="0"/>
      <c r="BE304" s="0"/>
      <c r="BF304" s="0"/>
      <c r="BG304" s="0"/>
      <c r="BH304" s="0"/>
      <c r="BI304" s="0"/>
      <c r="BJ304" s="54"/>
    </row>
    <row r="305" customFormat="false" ht="15" hidden="false" customHeight="false" outlineLevel="0" collapsed="false">
      <c r="BA305" s="0"/>
      <c r="BB305" s="0"/>
      <c r="BC305" s="0"/>
      <c r="BD305" s="0"/>
      <c r="BE305" s="0"/>
      <c r="BF305" s="0"/>
      <c r="BG305" s="0"/>
      <c r="BH305" s="0"/>
      <c r="BI305" s="0"/>
      <c r="BJ305" s="54"/>
    </row>
    <row r="306" customFormat="false" ht="15" hidden="false" customHeight="false" outlineLevel="0" collapsed="false">
      <c r="BA306" s="0"/>
      <c r="BB306" s="0"/>
      <c r="BC306" s="0"/>
      <c r="BD306" s="0"/>
      <c r="BE306" s="0"/>
      <c r="BF306" s="0"/>
      <c r="BG306" s="0"/>
      <c r="BH306" s="0"/>
      <c r="BI306" s="0"/>
      <c r="BJ306" s="54"/>
    </row>
    <row r="307" customFormat="false" ht="15" hidden="false" customHeight="false" outlineLevel="0" collapsed="false">
      <c r="BA307" s="0"/>
      <c r="BB307" s="0"/>
      <c r="BC307" s="0"/>
      <c r="BD307" s="0"/>
      <c r="BE307" s="0"/>
      <c r="BF307" s="0"/>
      <c r="BG307" s="0"/>
      <c r="BH307" s="0"/>
      <c r="BI307" s="0"/>
      <c r="BJ307" s="54"/>
    </row>
    <row r="308" customFormat="false" ht="15" hidden="false" customHeight="false" outlineLevel="0" collapsed="false">
      <c r="BA308" s="12"/>
      <c r="BB308" s="12"/>
      <c r="BC308" s="12"/>
      <c r="BD308" s="24"/>
      <c r="BE308" s="10"/>
      <c r="BF308" s="18"/>
      <c r="BG308" s="56"/>
      <c r="BH308" s="56"/>
      <c r="BI308" s="57"/>
      <c r="BJ308" s="3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  <tableParts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1226</TotalTime>
  <Application>LibreOffice/7.4.2.3$MacOSX_X86_64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2019-08-15T13:34:57Z</dcterms:created>
  <dc:creator/>
  <dc:description/>
  <dc:language>de-DE</dc:language>
  <cp:lastModifiedBy/>
  <dcterms:modified xsi:type="dcterms:W3CDTF">2022-10-25T20:06:43Z</dcterms:modified>
  <cp:revision>164</cp:revision>
  <dc:subject/>
  <dc:title/>
</cp:coreProperties>
</file>